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Temp\WT_WATERSHED\Storm_Water\Technical Standards\1013-1014 Enhanced P Removal\Final Documents\"/>
    </mc:Choice>
  </mc:AlternateContent>
  <xr:revisionPtr revIDLastSave="0" documentId="13_ncr:1_{023DE15B-E2DC-4A07-AA07-3D44478B39F0}" xr6:coauthVersionLast="47" xr6:coauthVersionMax="47" xr10:uidLastSave="{00000000-0000-0000-0000-000000000000}"/>
  <bookViews>
    <workbookView xWindow="-27375" yWindow="75" windowWidth="26640" windowHeight="15180" xr2:uid="{009B6FD1-EEF3-4C8F-ACE6-8BA33D05EB1B}"/>
  </bookViews>
  <sheets>
    <sheet name="Read Me-Tab 1" sheetId="7" r:id="rId1"/>
    <sheet name="Tab 1 Main Calculator" sheetId="6" r:id="rId2"/>
    <sheet name="Read Me-Tab 2" sheetId="5" r:id="rId3"/>
    <sheet name="Tab 2 Sediment Testing" sheetId="1" r:id="rId4"/>
  </sheets>
  <definedNames>
    <definedName name="_xlnm.Print_Area" localSheetId="0">'Read Me-Tab 1'!$A$1:$E$77</definedName>
    <definedName name="_xlnm.Print_Area" localSheetId="2">'Read Me-Tab 2'!$A$1:$H$39</definedName>
    <definedName name="_xlnm.Print_Area" localSheetId="1">'Tab 1 Main Calculator'!$A$1:$I$82</definedName>
    <definedName name="_xlnm.Print_Area" localSheetId="3">'Tab 2 Sediment Testing'!$A$1:$W$20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" l="1"/>
  <c r="V6" i="1"/>
  <c r="V5" i="1"/>
  <c r="P6" i="1"/>
  <c r="P5" i="1"/>
  <c r="J6" i="1"/>
  <c r="J5" i="1"/>
  <c r="D6" i="1"/>
  <c r="D5" i="1"/>
  <c r="H49" i="6" l="1"/>
  <c r="H50" i="6"/>
  <c r="H51" i="6"/>
  <c r="H52" i="6"/>
  <c r="H53" i="6"/>
  <c r="H54" i="6"/>
  <c r="F48" i="6"/>
  <c r="H48" i="6" s="1"/>
  <c r="E26" i="6"/>
  <c r="F51" i="6"/>
  <c r="C51" i="6"/>
  <c r="D51" i="6" s="1"/>
  <c r="E51" i="6" s="1"/>
  <c r="F50" i="6"/>
  <c r="C50" i="6"/>
  <c r="D50" i="6" s="1"/>
  <c r="E50" i="6" s="1"/>
  <c r="F49" i="6"/>
  <c r="C49" i="6"/>
  <c r="D49" i="6" s="1"/>
  <c r="E49" i="6" s="1"/>
  <c r="C48" i="6"/>
  <c r="D48" i="6" s="1"/>
  <c r="E48" i="6" s="1"/>
  <c r="K16" i="6"/>
  <c r="F20" i="6" s="1"/>
  <c r="K15" i="6"/>
  <c r="F19" i="6" s="1"/>
  <c r="B80" i="6"/>
  <c r="B74" i="6"/>
  <c r="B66" i="6"/>
  <c r="B60" i="6"/>
  <c r="F54" i="6"/>
  <c r="C54" i="6"/>
  <c r="D54" i="6" s="1"/>
  <c r="E54" i="6" s="1"/>
  <c r="F53" i="6"/>
  <c r="C53" i="6"/>
  <c r="D53" i="6" s="1"/>
  <c r="E53" i="6" s="1"/>
  <c r="F52" i="6"/>
  <c r="C52" i="6"/>
  <c r="D52" i="6" s="1"/>
  <c r="E52" i="6" s="1"/>
  <c r="C39" i="6"/>
  <c r="C38" i="6"/>
  <c r="C37" i="6"/>
  <c r="E13" i="6"/>
  <c r="D67" i="6" s="1"/>
  <c r="B67" i="6" s="1"/>
  <c r="E12" i="6"/>
  <c r="B27" i="6" s="1"/>
  <c r="E11" i="6"/>
  <c r="C9" i="6"/>
  <c r="T16" i="1"/>
  <c r="T18" i="1" s="1"/>
  <c r="N16" i="1"/>
  <c r="N18" i="1" s="1"/>
  <c r="H16" i="1"/>
  <c r="H18" i="1" s="1"/>
  <c r="B16" i="1"/>
  <c r="B18" i="1" s="1"/>
  <c r="G54" i="6" l="1"/>
  <c r="G53" i="6"/>
  <c r="G52" i="6"/>
  <c r="G51" i="6"/>
  <c r="G50" i="6"/>
  <c r="G49" i="6"/>
  <c r="G48" i="6"/>
  <c r="D81" i="6"/>
  <c r="B81" i="6" s="1"/>
  <c r="D61" i="6"/>
  <c r="B61" i="6" s="1"/>
  <c r="D75" i="6"/>
  <c r="B75" i="6" s="1"/>
  <c r="T17" i="1"/>
  <c r="T19" i="1" s="1"/>
  <c r="AB19" i="1" s="1"/>
  <c r="N17" i="1"/>
  <c r="H17" i="1"/>
  <c r="B17" i="1" l="1"/>
  <c r="B19" i="1" s="1"/>
  <c r="H19" i="1"/>
  <c r="Z19" i="1" s="1"/>
  <c r="N19" i="1"/>
  <c r="AA19" i="1" s="1"/>
  <c r="Y19" i="1" l="1"/>
  <c r="B20" i="1" s="1"/>
  <c r="E23" i="6" l="1"/>
  <c r="E27" i="6" l="1"/>
</calcChain>
</file>

<file path=xl/sharedStrings.xml><?xml version="1.0" encoding="utf-8"?>
<sst xmlns="http://schemas.openxmlformats.org/spreadsheetml/2006/main" count="441" uniqueCount="259">
  <si>
    <t>Acres</t>
  </si>
  <si>
    <t>Residential</t>
  </si>
  <si>
    <t>Commercial</t>
  </si>
  <si>
    <t>Industrial</t>
  </si>
  <si>
    <t>Other</t>
  </si>
  <si>
    <t>Total</t>
  </si>
  <si>
    <t>Years</t>
  </si>
  <si>
    <r>
      <t>mg/l as CaCO</t>
    </r>
    <r>
      <rPr>
        <vertAlign val="subscript"/>
        <sz val="11"/>
        <color theme="1"/>
        <rFont val="Calibri"/>
        <family val="2"/>
        <scheme val="minor"/>
      </rPr>
      <t>3</t>
    </r>
  </si>
  <si>
    <t>Standard Units</t>
  </si>
  <si>
    <t>Location</t>
  </si>
  <si>
    <t>Wet sediment density</t>
  </si>
  <si>
    <t>Loss on ignition</t>
  </si>
  <si>
    <t>Loosely bound P</t>
  </si>
  <si>
    <t>Iron (Fe) bound P</t>
  </si>
  <si>
    <t>Refractory organic P</t>
  </si>
  <si>
    <t>Labile organic P</t>
  </si>
  <si>
    <t>mg/g</t>
  </si>
  <si>
    <t>g/m2</t>
  </si>
  <si>
    <t>g/cm3</t>
  </si>
  <si>
    <t>Target Sediment Depth</t>
  </si>
  <si>
    <t>Dry sediment Mass per area</t>
  </si>
  <si>
    <t>Water depth at test location</t>
  </si>
  <si>
    <t>ft</t>
  </si>
  <si>
    <t>Redox P concentration</t>
  </si>
  <si>
    <t>Dose for Sediment Inactivation</t>
  </si>
  <si>
    <t>lbs/acre</t>
  </si>
  <si>
    <t>as AL</t>
  </si>
  <si>
    <t>Bench testing doses:</t>
  </si>
  <si>
    <t>acre-feet</t>
  </si>
  <si>
    <t>mg/l</t>
  </si>
  <si>
    <t>Control</t>
  </si>
  <si>
    <t>Test</t>
  </si>
  <si>
    <t>Date</t>
  </si>
  <si>
    <t># of 50 lb bags</t>
  </si>
  <si>
    <t>Degrees C</t>
  </si>
  <si>
    <t xml:space="preserve">Purpose: </t>
  </si>
  <si>
    <t>Conventions:</t>
  </si>
  <si>
    <t>Calculated values and standard assumptions</t>
  </si>
  <si>
    <t>User Input Cells--Required unless noted as optional</t>
  </si>
  <si>
    <t>% Aluminum by weight</t>
  </si>
  <si>
    <t>Step 1:  Pond Information</t>
  </si>
  <si>
    <t>Step 2:  Pond Water Chemistry</t>
  </si>
  <si>
    <t>Step 5:  Bench Testing</t>
  </si>
  <si>
    <t>pH at 5 min</t>
  </si>
  <si>
    <t>pH at 20 min</t>
  </si>
  <si>
    <t>pH at 60 min</t>
  </si>
  <si>
    <t>Alkalinity at 60 minutes</t>
  </si>
  <si>
    <t>Product Name or Formula:</t>
  </si>
  <si>
    <t>a.  Pond Name:</t>
  </si>
  <si>
    <t>b.  Location Description:</t>
  </si>
  <si>
    <t>e. Permanent Pool Area</t>
  </si>
  <si>
    <t>f.  Area at Sediment surface</t>
  </si>
  <si>
    <t>g.  Permanent Pool Volume</t>
  </si>
  <si>
    <t>1.  Pond Information-information on the pond being dosed</t>
  </si>
  <si>
    <t xml:space="preserve">a. </t>
  </si>
  <si>
    <t>Name the municipality or other permittee uses to refer to the pond</t>
  </si>
  <si>
    <t xml:space="preserve">b. </t>
  </si>
  <si>
    <t>c.</t>
  </si>
  <si>
    <t>d.</t>
  </si>
  <si>
    <t>e.</t>
  </si>
  <si>
    <t>f.</t>
  </si>
  <si>
    <t>c. Date of pH and Alkalinity test</t>
  </si>
  <si>
    <t>g.</t>
  </si>
  <si>
    <t>a. Test No. 1</t>
  </si>
  <si>
    <t>b. Location</t>
  </si>
  <si>
    <t>c. Water depth at test location</t>
  </si>
  <si>
    <t>d. Target Sediment Depth</t>
  </si>
  <si>
    <t>h. Loosely bound P</t>
  </si>
  <si>
    <t>i. Iron (Fe) bound P</t>
  </si>
  <si>
    <t>Date of Test-standard record keeping</t>
  </si>
  <si>
    <t>k. Refractory organic P (optional)</t>
  </si>
  <si>
    <t>g. Loss on ignition (optional)</t>
  </si>
  <si>
    <t>h.</t>
  </si>
  <si>
    <t>i.</t>
  </si>
  <si>
    <t>j.</t>
  </si>
  <si>
    <t>k.</t>
  </si>
  <si>
    <t>a. Dry sediment Mass per area</t>
  </si>
  <si>
    <t>d. Dose for Sediment Inactivation</t>
  </si>
  <si>
    <t>Dry sediment mass per area in g/m2</t>
  </si>
  <si>
    <t>Redox P concentration in mg/g</t>
  </si>
  <si>
    <t>Equation</t>
  </si>
  <si>
    <t>From James &amp; Bischoff</t>
  </si>
  <si>
    <t>f. Bulk density</t>
  </si>
  <si>
    <t>a. Water pH at surface</t>
  </si>
  <si>
    <t>b. Alkalinity at surface</t>
  </si>
  <si>
    <t>d. Temperature at surface during pH test</t>
  </si>
  <si>
    <t>e. Water pH at bottom</t>
  </si>
  <si>
    <t>e.  Average Dose if multiple tests</t>
  </si>
  <si>
    <t>m^2</t>
  </si>
  <si>
    <t>m^3</t>
  </si>
  <si>
    <t>Product Quantities</t>
  </si>
  <si>
    <t>Permanent pool area-Area of water when the pond surface is at the lowest outlet, enter in acres, adjacent cell will convert to metric</t>
  </si>
  <si>
    <t>Dose for sediment inactivation in g/m2 as Al</t>
  </si>
  <si>
    <t>gallons liquid product per acre-ft</t>
  </si>
  <si>
    <t>Use this spreadsheet in concert with Wisconsin DNR Technical Standard 1014.</t>
  </si>
  <si>
    <t xml:space="preserve">Age since construction or last full-pond dredging. </t>
  </si>
  <si>
    <t>2. Pond Water Chemistry</t>
  </si>
  <si>
    <t>Alkalinity--as mg/l CaCO3--use a meter or test strips</t>
  </si>
  <si>
    <t>Temperature during test-use a thermometer</t>
  </si>
  <si>
    <t>Loss on ignition-- % organic matter from the lab analysis of the sediment sample.  The value is formatted as a percentage in this spreadsheet.</t>
  </si>
  <si>
    <t xml:space="preserve">Bulk Density in g/cm3--density of sediment sample in lab before drying. </t>
  </si>
  <si>
    <t>Water depth in feet at the test location.</t>
  </si>
  <si>
    <t>Iron bound P in mg/g-- from the lab analysis of the sediment sample.</t>
  </si>
  <si>
    <t>6. Additive quantity for whole pond dosing</t>
  </si>
  <si>
    <t>5. Bench Testing Additive Dosing Concentration Calculation</t>
  </si>
  <si>
    <t>Step 6:  Additive Quantity for Whole Pond Dosing</t>
  </si>
  <si>
    <t>lbs product per acre-ft</t>
  </si>
  <si>
    <t>From product packaging</t>
  </si>
  <si>
    <t>f. Total Phosphorus (optional)</t>
  </si>
  <si>
    <t>g. Orthophosphate (optional)</t>
  </si>
  <si>
    <t>Water pH at bottom of pond/top of sediment</t>
  </si>
  <si>
    <t>Step 7:  Phosphorus Reduction from Water Column Stripping (Optional)</t>
  </si>
  <si>
    <t>Option 1:  Use average annual TP concentration predicted by an approved model</t>
  </si>
  <si>
    <t>Concentration change</t>
  </si>
  <si>
    <t>a. TP concentration before dosing</t>
  </si>
  <si>
    <t>c. Concentration change</t>
  </si>
  <si>
    <t>d. Assumed lbs of TP removed</t>
  </si>
  <si>
    <t>g</t>
  </si>
  <si>
    <t>lbs</t>
  </si>
  <si>
    <t>Option 2:  Use measured TP values</t>
  </si>
  <si>
    <t>From pond sampling</t>
  </si>
  <si>
    <t>b. TP concentration after dosing</t>
  </si>
  <si>
    <t>e. TP concentration before dosing</t>
  </si>
  <si>
    <t>f. TP concentration after dosing</t>
  </si>
  <si>
    <t>g. Concentration change</t>
  </si>
  <si>
    <t>h. Assumed lbs of TP removed</t>
  </si>
  <si>
    <t>Assumed lbs of TP removed</t>
  </si>
  <si>
    <t>[7a]-[7b]</t>
  </si>
  <si>
    <t>Note:  1mg/l = 1 g/m3</t>
  </si>
  <si>
    <t>[7e]-[7f]</t>
  </si>
  <si>
    <t>in</t>
  </si>
  <si>
    <t>Step 8:  Total Suspended Solids Reduction from Water Column Stripping (Optional)</t>
  </si>
  <si>
    <t>Option 1:  Use average annual TSS concentration predicted by an approved model</t>
  </si>
  <si>
    <t>a. TSS concentration before dosing</t>
  </si>
  <si>
    <t>b. TSS concentration after dosing</t>
  </si>
  <si>
    <t>d. Assumed lbs of TSS removed</t>
  </si>
  <si>
    <t>Option 2:  Use measured TSS values</t>
  </si>
  <si>
    <t>e. TSS concentration before dosing</t>
  </si>
  <si>
    <t>f. TSS concentration after dosing</t>
  </si>
  <si>
    <t>h. Assumed lbs of TSS removed</t>
  </si>
  <si>
    <t>Assumed lbs of TSS removed</t>
  </si>
  <si>
    <t>[8a]-[8b]</t>
  </si>
  <si>
    <t>[8e]-[8f]</t>
  </si>
  <si>
    <t>Assumed from various studies</t>
  </si>
  <si>
    <t>Note:  TSS Reduction only occurs when dosing is completed.</t>
  </si>
  <si>
    <t>Note:  P Reduction only occurs when dosing is completed and assumes sediment inactivation is successful</t>
  </si>
  <si>
    <t>From approved model pond outflow</t>
  </si>
  <si>
    <t>a.  Dose for Sediment Inactivation</t>
  </si>
  <si>
    <t>Water pH at surface--use a meter</t>
  </si>
  <si>
    <t>Orthophosphate in mg/l --take a sample for lab analysis (optional)</t>
  </si>
  <si>
    <t>Option 1</t>
  </si>
  <si>
    <t>Option 2</t>
  </si>
  <si>
    <t>7. TP reduction credit--Use either Option 1 or Option 2</t>
  </si>
  <si>
    <t>8. TSS reduction credit--Use either Option 1 or Option 2</t>
  </si>
  <si>
    <t>OR</t>
  </si>
  <si>
    <t>Assumed from dosed pond data</t>
  </si>
  <si>
    <t>Application Rate (mg/l as AL)</t>
  </si>
  <si>
    <t>b.</t>
  </si>
  <si>
    <t>Dose for Sediment TP inactivation in g/m2 as Al</t>
  </si>
  <si>
    <t>3. Determine Sediment TP Inactivation Dose</t>
  </si>
  <si>
    <t>[3a]*[1f]</t>
  </si>
  <si>
    <t>Coagulant quantity per 1 liter of pond water (mg)</t>
  </si>
  <si>
    <t>Step 4:  Determine Total mass of Al for Sediment TP Inactivation</t>
  </si>
  <si>
    <t>Test No. 2 (Optional)</t>
  </si>
  <si>
    <t>Test No. 3 (Optional)</t>
  </si>
  <si>
    <t>Test No. 4 (Optional)</t>
  </si>
  <si>
    <t>Step 3.1:  Sediment Sample Results</t>
  </si>
  <si>
    <t>Step 3.2:  Dose Calculations for Sediment Inactivation</t>
  </si>
  <si>
    <t>Total lbs/dose</t>
  </si>
  <si>
    <t>Use this tab for all ponds</t>
  </si>
  <si>
    <t>Use Tab 1:  Main Calculator for all uses of Episodic Dosing</t>
  </si>
  <si>
    <t>Use Tab 2:  Sediment Testing for dose calculation from optional sediment test results</t>
  </si>
  <si>
    <t>Drainage area-This information may be used to refine dosing in the future</t>
  </si>
  <si>
    <t>b. Mass of Al for sediment inactivation</t>
  </si>
  <si>
    <t>Step 3:  Optional:  Complete Tab 2 Sediment testing tab if sediment testing conducted</t>
  </si>
  <si>
    <t>Value from [Tab 2 3.2e]</t>
  </si>
  <si>
    <t>3.1. Sediment sampling results</t>
  </si>
  <si>
    <t>3.2 Dose Calculations for Sediment Inactivation</t>
  </si>
  <si>
    <t xml:space="preserve">Use 4 if carp are known to be present, otherwise 2 is typical.  </t>
  </si>
  <si>
    <t>[3.1f]*(1-[3.1e])*convert([3.1d], "in", "cm")*10000</t>
  </si>
  <si>
    <t>[3.1h]+[3.1i]</t>
  </si>
  <si>
    <t>30.2065*[3.2b]^-0.6446, but no greater than 100</t>
  </si>
  <si>
    <t>[3.2a]*[3.2b]*[3.2c]/1000</t>
  </si>
  <si>
    <t>in g/m2 as Al</t>
  </si>
  <si>
    <t>Average Dose if multiple sediment cores taken</t>
  </si>
  <si>
    <t>Average([3.2d values for Tests 1-4])</t>
  </si>
  <si>
    <t>Manufacturer Recommended Pre-application Dilution</t>
  </si>
  <si>
    <t>gallons/lb of dry product</t>
  </si>
  <si>
    <t>gallons/gallon of liquid product</t>
  </si>
  <si>
    <t>Minimum gallons pond water for pre-application dilution (Dry Product)</t>
  </si>
  <si>
    <t>Minimum gallons pond water for pre-application dilution (Liquid Product)</t>
  </si>
  <si>
    <t>b. Redox-sensitive P concentration</t>
  </si>
  <si>
    <t>e. Water Content</t>
  </si>
  <si>
    <t>Water Content</t>
  </si>
  <si>
    <t>j. Labile organic P (Optional)</t>
  </si>
  <si>
    <t>Loosely bound P in mg/g--from the lab analysis of the sediment sample.  If lab reports redox-sensitive P rather than loosely bound P and iron-bound P separately, enter the redox-sensitive P here and leave iron-bound P blank.</t>
  </si>
  <si>
    <t>c.  Drainage Area (Optional)</t>
  </si>
  <si>
    <t>d. Age from most recent dredging</t>
  </si>
  <si>
    <t>Warning will appear if permanent pool area is blank or the average depth &lt; 3.5 feet.</t>
  </si>
  <si>
    <t>Metric Conversion</t>
  </si>
  <si>
    <t>m</t>
  </si>
  <si>
    <t>cm</t>
  </si>
  <si>
    <t>Water content-- the % of water from the lab analysis of the sediment sample.  The value is formatted as a percentage in this spreadsheet, so if you enter 0.85 as 85 it should show as 85%.</t>
  </si>
  <si>
    <t>4. Determine total mass of Al for Sediment TP Inactivation</t>
  </si>
  <si>
    <t>as Al</t>
  </si>
  <si>
    <t>Dose mg/l as Al</t>
  </si>
  <si>
    <t xml:space="preserve"> Al:P for Redox P-dimensionless ratio</t>
  </si>
  <si>
    <t>Al:P for Redox P</t>
  </si>
  <si>
    <t>c. Al:P for Redox P</t>
  </si>
  <si>
    <t xml:space="preserve">Units are a mixture of imperial and metric based on the units the information is likely </t>
  </si>
  <si>
    <t xml:space="preserve">available in.  Unit conversions are built in to equations where needed. Pond plans </t>
  </si>
  <si>
    <t>are often in imperial units but lab values and concentrations are generally in metric.</t>
  </si>
  <si>
    <t xml:space="preserve">Location description-an intersection, parcel address, or lot number used to describe </t>
  </si>
  <si>
    <t>how the pond can be found on a map</t>
  </si>
  <si>
    <t xml:space="preserve">Area at sediment surface--this is the area of the pond at the top of existing sediment </t>
  </si>
  <si>
    <t xml:space="preserve">where the additive will be applied.  Use an average if the sediment depth varies </t>
  </si>
  <si>
    <t>across the pond.  Enter in acres, adjacent cell will convert to metric.</t>
  </si>
  <si>
    <t xml:space="preserve">Permanent pool volume-volume of water when the pond surface is at the lowest </t>
  </si>
  <si>
    <t xml:space="preserve">outlet or the anticipated volume at the time of dosing. Exclude volume occupied by </t>
  </si>
  <si>
    <t>existing sediment. Enter in acres, adjacent cell will convert to metric.</t>
  </si>
  <si>
    <t>Total Phosphorus (TP) in mg/l--take a sample for lab analysis (optional)</t>
  </si>
  <si>
    <t xml:space="preserve">Dose for Sediment TP inactivation </t>
  </si>
  <si>
    <t>in g/m2 as aluminum (Al)</t>
  </si>
  <si>
    <t>Total mass of Al for Sediment TP inactivation in g</t>
  </si>
  <si>
    <t xml:space="preserve">Calculates the amount of material by mg/l of product needed for bench testing various </t>
  </si>
  <si>
    <t>concentrations of product given the % Al content of the product</t>
  </si>
  <si>
    <t xml:space="preserve">Enter % Al content of the project as a percentage, i.e. for 9% as Al, enter a 9 because </t>
  </si>
  <si>
    <t>the cell is pre-formatted as a percentage.</t>
  </si>
  <si>
    <t xml:space="preserve">Calculates the amount of material by mg/l of product needed given the % Al content of </t>
  </si>
  <si>
    <t>the product and the desired concentration of Al</t>
  </si>
  <si>
    <t xml:space="preserve">Unit conversions are built in for pond dimensional information.  </t>
  </si>
  <si>
    <t>Annotation of line items:     [3e] in an equation means the value entered in step 3 item e</t>
  </si>
  <si>
    <t>Enter value from Step 3 or assume 50-100 g/m2 as Al. Adjacent cell will calculate US customary unit value</t>
  </si>
  <si>
    <t xml:space="preserve">Note:  Sediment samples are not required. </t>
  </si>
  <si>
    <t>Use Tab 2 if samples have been obtained.</t>
  </si>
  <si>
    <t>TP concentration before dosing from approved model</t>
  </si>
  <si>
    <t>TP concentration after dosing-assumed to be 0.05 mg/l</t>
  </si>
  <si>
    <t>from various studies and monitoring of ponds and lakes</t>
  </si>
  <si>
    <t>convert([7c] from g to lbs)</t>
  </si>
  <si>
    <t>TP concentration in pond water before dosing-measured</t>
  </si>
  <si>
    <t>TP concentration in pond water after dosing-measured</t>
  </si>
  <si>
    <t>convert([7g] from g to lbs)</t>
  </si>
  <si>
    <t>TSS concentration before dosing from approved model</t>
  </si>
  <si>
    <t>TSS concentration after dosing-assume 6 mg/l</t>
  </si>
  <si>
    <t>convert([8c] from g to lbs)</t>
  </si>
  <si>
    <t>TSS concentration in pond before dosing-measured</t>
  </si>
  <si>
    <t>TSS concentration in pond after dosing-measured</t>
  </si>
  <si>
    <t>convert([8g] from g to lbs)</t>
  </si>
  <si>
    <t xml:space="preserve">Sediment test location--where the sediment sample(s) were taken.  </t>
  </si>
  <si>
    <t>Only 1 needed for ponds &lt; 4 acres</t>
  </si>
  <si>
    <r>
      <t>Test number-</t>
    </r>
    <r>
      <rPr>
        <u/>
        <sz val="11"/>
        <color theme="1"/>
        <rFont val="Calibri"/>
        <family val="2"/>
        <scheme val="minor"/>
      </rPr>
      <t xml:space="preserve">a unique number </t>
    </r>
    <r>
      <rPr>
        <sz val="11"/>
        <color theme="1"/>
        <rFont val="Calibri"/>
        <family val="2"/>
        <scheme val="minor"/>
      </rPr>
      <t xml:space="preserve">for each location and date.  </t>
    </r>
  </si>
  <si>
    <t>Label all samples as soon as collected.</t>
  </si>
  <si>
    <t xml:space="preserve">Target sediment depth in inches--inactivation depth of sediment. </t>
  </si>
  <si>
    <t xml:space="preserve"> Use a value between 1 and 4.  </t>
  </si>
  <si>
    <t xml:space="preserve">Units are based on the units the information is likely available in.  </t>
  </si>
  <si>
    <t>Equations are primarily in metric units to match laboratory reporting units.</t>
  </si>
  <si>
    <t xml:space="preserve">Labile organic P in mg/g-- from the lab analysis of the sediment sample.  </t>
  </si>
  <si>
    <t>Optional.  Not used in calculations.</t>
  </si>
  <si>
    <t>Refractory organic P in mg/g--from the lab analysis of the sediment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</si>
</sst>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ED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164" fontId="0" fillId="2" borderId="1" xfId="1" applyNumberFormat="1" applyFont="1" applyFill="1" applyBorder="1"/>
    <xf numFmtId="14" fontId="0" fillId="0" borderId="1" xfId="0" applyNumberFormat="1" applyBorder="1"/>
    <xf numFmtId="2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 indent="2"/>
    </xf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14" fontId="0" fillId="0" borderId="0" xfId="0" applyNumberFormat="1" applyFill="1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22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0" fillId="2" borderId="2" xfId="1" applyNumberFormat="1" applyFont="1" applyFill="1" applyBorder="1"/>
    <xf numFmtId="0" fontId="0" fillId="0" borderId="18" xfId="0" applyBorder="1"/>
    <xf numFmtId="0" fontId="0" fillId="0" borderId="25" xfId="0" applyBorder="1"/>
    <xf numFmtId="14" fontId="0" fillId="0" borderId="9" xfId="0" applyNumberFormat="1" applyFill="1" applyBorder="1"/>
    <xf numFmtId="14" fontId="0" fillId="0" borderId="9" xfId="0" applyNumberFormat="1" applyBorder="1"/>
    <xf numFmtId="0" fontId="0" fillId="0" borderId="7" xfId="0" applyBorder="1"/>
    <xf numFmtId="0" fontId="0" fillId="0" borderId="26" xfId="0" applyBorder="1"/>
    <xf numFmtId="0" fontId="0" fillId="0" borderId="2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21" xfId="0" applyNumberFormat="1" applyFill="1" applyBorder="1"/>
    <xf numFmtId="0" fontId="0" fillId="0" borderId="13" xfId="0" applyFont="1" applyBorder="1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11" xfId="0" applyBorder="1"/>
    <xf numFmtId="0" fontId="0" fillId="0" borderId="1" xfId="0" applyBorder="1"/>
    <xf numFmtId="0" fontId="0" fillId="0" borderId="28" xfId="0" applyBorder="1"/>
    <xf numFmtId="0" fontId="0" fillId="0" borderId="30" xfId="0" applyBorder="1"/>
    <xf numFmtId="1" fontId="0" fillId="2" borderId="29" xfId="0" applyNumberFormat="1" applyFill="1" applyBorder="1"/>
    <xf numFmtId="1" fontId="0" fillId="2" borderId="1" xfId="0" applyNumberFormat="1" applyFill="1" applyBorder="1"/>
    <xf numFmtId="1" fontId="0" fillId="2" borderId="21" xfId="0" applyNumberFormat="1" applyFill="1" applyBorder="1"/>
    <xf numFmtId="164" fontId="0" fillId="2" borderId="1" xfId="0" applyNumberFormat="1" applyFill="1" applyBorder="1" applyAlignment="1">
      <alignment horizontal="left" indent="4"/>
    </xf>
    <xf numFmtId="0" fontId="0" fillId="0" borderId="31" xfId="0" applyBorder="1"/>
    <xf numFmtId="1" fontId="0" fillId="0" borderId="0" xfId="0" applyNumberFormat="1" applyFill="1" applyBorder="1"/>
    <xf numFmtId="0" fontId="8" fillId="0" borderId="0" xfId="0" applyFont="1"/>
    <xf numFmtId="0" fontId="0" fillId="0" borderId="20" xfId="0" applyBorder="1" applyAlignment="1">
      <alignment wrapText="1"/>
    </xf>
    <xf numFmtId="164" fontId="0" fillId="0" borderId="1" xfId="0" applyNumberFormat="1" applyFill="1" applyBorder="1"/>
    <xf numFmtId="164" fontId="8" fillId="0" borderId="0" xfId="0" applyNumberFormat="1" applyFont="1"/>
    <xf numFmtId="0" fontId="5" fillId="0" borderId="32" xfId="0" applyFont="1" applyBorder="1"/>
    <xf numFmtId="0" fontId="0" fillId="0" borderId="33" xfId="0" applyBorder="1"/>
    <xf numFmtId="0" fontId="0" fillId="0" borderId="34" xfId="0" applyBorder="1"/>
    <xf numFmtId="0" fontId="5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1" fontId="0" fillId="2" borderId="0" xfId="0" applyNumberFormat="1" applyFill="1" applyBorder="1"/>
    <xf numFmtId="0" fontId="0" fillId="2" borderId="0" xfId="0" applyFill="1" applyBorder="1"/>
    <xf numFmtId="2" fontId="0" fillId="2" borderId="7" xfId="0" applyNumberFormat="1" applyFill="1" applyBorder="1"/>
    <xf numFmtId="0" fontId="4" fillId="0" borderId="35" xfId="0" applyFont="1" applyBorder="1" applyAlignment="1">
      <alignment vertical="center"/>
    </xf>
    <xf numFmtId="0" fontId="0" fillId="0" borderId="36" xfId="0" applyBorder="1"/>
    <xf numFmtId="0" fontId="0" fillId="0" borderId="37" xfId="0" applyBorder="1"/>
    <xf numFmtId="0" fontId="0" fillId="0" borderId="33" xfId="0" applyFill="1" applyBorder="1"/>
    <xf numFmtId="49" fontId="0" fillId="0" borderId="34" xfId="0" quotePrefix="1" applyNumberFormat="1" applyFill="1" applyBorder="1"/>
    <xf numFmtId="0" fontId="3" fillId="0" borderId="6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7" xfId="0" applyFill="1" applyBorder="1"/>
    <xf numFmtId="2" fontId="0" fillId="0" borderId="0" xfId="0" applyNumberFormat="1" applyFill="1" applyBorder="1"/>
    <xf numFmtId="164" fontId="0" fillId="2" borderId="0" xfId="1" applyNumberFormat="1" applyFont="1" applyFill="1" applyBorder="1" applyAlignment="1">
      <alignment horizontal="right" indent="2"/>
    </xf>
    <xf numFmtId="164" fontId="0" fillId="2" borderId="0" xfId="1" applyNumberFormat="1" applyFont="1" applyFill="1" applyBorder="1"/>
    <xf numFmtId="2" fontId="0" fillId="0" borderId="7" xfId="0" applyNumberFormat="1" applyBorder="1"/>
    <xf numFmtId="0" fontId="3" fillId="0" borderId="35" xfId="0" applyFont="1" applyFill="1" applyBorder="1" applyAlignment="1">
      <alignment vertical="center"/>
    </xf>
    <xf numFmtId="0" fontId="0" fillId="0" borderId="36" xfId="0" applyFill="1" applyBorder="1"/>
    <xf numFmtId="1" fontId="0" fillId="0" borderId="36" xfId="0" applyNumberFormat="1" applyBorder="1"/>
    <xf numFmtId="2" fontId="0" fillId="0" borderId="37" xfId="0" applyNumberFormat="1" applyBorder="1"/>
    <xf numFmtId="0" fontId="0" fillId="0" borderId="1" xfId="0" applyFill="1" applyBorder="1"/>
    <xf numFmtId="0" fontId="0" fillId="0" borderId="11" xfId="0" applyBorder="1"/>
    <xf numFmtId="0" fontId="0" fillId="0" borderId="1" xfId="0" applyBorder="1"/>
    <xf numFmtId="0" fontId="0" fillId="0" borderId="20" xfId="0" applyBorder="1"/>
    <xf numFmtId="0" fontId="0" fillId="0" borderId="21" xfId="0" applyBorder="1"/>
    <xf numFmtId="164" fontId="0" fillId="0" borderId="0" xfId="0" applyNumberFormat="1" applyFill="1" applyBorder="1" applyAlignment="1">
      <alignment horizontal="left" indent="2"/>
    </xf>
    <xf numFmtId="0" fontId="0" fillId="2" borderId="0" xfId="0" applyNumberFormat="1" applyFill="1" applyBorder="1"/>
    <xf numFmtId="0" fontId="3" fillId="0" borderId="0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5" fillId="0" borderId="0" xfId="0" applyFont="1" applyFill="1"/>
    <xf numFmtId="0" fontId="0" fillId="0" borderId="1" xfId="0" applyBorder="1"/>
    <xf numFmtId="0" fontId="0" fillId="0" borderId="15" xfId="0" applyBorder="1"/>
    <xf numFmtId="0" fontId="5" fillId="0" borderId="38" xfId="0" applyFont="1" applyBorder="1"/>
    <xf numFmtId="14" fontId="0" fillId="0" borderId="39" xfId="0" applyNumberFormat="1" applyFill="1" applyBorder="1"/>
    <xf numFmtId="0" fontId="5" fillId="0" borderId="0" xfId="0" applyFont="1" applyBorder="1"/>
    <xf numFmtId="0" fontId="0" fillId="0" borderId="1" xfId="0" applyBorder="1"/>
    <xf numFmtId="0" fontId="0" fillId="0" borderId="0" xfId="0" applyBorder="1" applyAlignment="1">
      <alignment horizontal="center" wrapText="1"/>
    </xf>
    <xf numFmtId="0" fontId="0" fillId="2" borderId="7" xfId="0" applyNumberFormat="1" applyFill="1" applyBorder="1"/>
    <xf numFmtId="1" fontId="0" fillId="2" borderId="36" xfId="0" applyNumberFormat="1" applyFill="1" applyBorder="1"/>
    <xf numFmtId="0" fontId="0" fillId="2" borderId="36" xfId="0" applyFill="1" applyBorder="1"/>
    <xf numFmtId="2" fontId="0" fillId="2" borderId="37" xfId="0" applyNumberFormat="1" applyFill="1" applyBorder="1"/>
    <xf numFmtId="0" fontId="0" fillId="0" borderId="11" xfId="0" applyBorder="1"/>
    <xf numFmtId="0" fontId="0" fillId="0" borderId="1" xfId="0" applyBorder="1"/>
    <xf numFmtId="0" fontId="0" fillId="0" borderId="1" xfId="0" applyBorder="1"/>
    <xf numFmtId="0" fontId="7" fillId="0" borderId="0" xfId="0" applyFont="1"/>
    <xf numFmtId="0" fontId="0" fillId="0" borderId="3" xfId="0" applyBorder="1"/>
    <xf numFmtId="0" fontId="0" fillId="0" borderId="40" xfId="0" applyBorder="1"/>
    <xf numFmtId="0" fontId="0" fillId="0" borderId="35" xfId="0" applyBorder="1"/>
    <xf numFmtId="43" fontId="0" fillId="2" borderId="1" xfId="0" applyNumberFormat="1" applyFill="1" applyBorder="1"/>
    <xf numFmtId="0" fontId="0" fillId="0" borderId="2" xfId="0" applyFill="1" applyBorder="1"/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1" xfId="0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9" fontId="0" fillId="3" borderId="0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Protection="1">
      <protection locked="0"/>
    </xf>
    <xf numFmtId="0" fontId="0" fillId="3" borderId="22" xfId="0" applyFill="1" applyBorder="1" applyProtection="1">
      <protection locked="0"/>
    </xf>
    <xf numFmtId="43" fontId="3" fillId="4" borderId="6" xfId="0" applyNumberFormat="1" applyFont="1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35" xfId="0" applyFont="1" applyFill="1" applyBorder="1" applyAlignment="1" applyProtection="1">
      <alignment vertical="center"/>
      <protection locked="0"/>
    </xf>
    <xf numFmtId="0" fontId="0" fillId="4" borderId="36" xfId="0" applyFill="1" applyBorder="1" applyProtection="1">
      <protection locked="0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9" fontId="0" fillId="3" borderId="1" xfId="2" applyFont="1" applyFill="1" applyBorder="1" applyProtection="1">
      <protection locked="0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0" borderId="0" xfId="0" applyAlignment="1">
      <alignment wrapText="1"/>
    </xf>
    <xf numFmtId="0" fontId="0" fillId="0" borderId="19" xfId="0" applyBorder="1"/>
    <xf numFmtId="0" fontId="0" fillId="0" borderId="5" xfId="0" applyBorder="1"/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/>
    <xf numFmtId="0" fontId="9" fillId="0" borderId="23" xfId="0" applyFont="1" applyBorder="1"/>
    <xf numFmtId="0" fontId="0" fillId="0" borderId="43" xfId="0" applyBorder="1"/>
    <xf numFmtId="0" fontId="0" fillId="0" borderId="44" xfId="0" applyBorder="1"/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6F65-1E7B-4049-B5C8-CA094592E072}">
  <dimension ref="A1:O77"/>
  <sheetViews>
    <sheetView tabSelected="1" zoomScale="140" zoomScaleNormal="140" workbookViewId="0">
      <selection activeCell="H13" sqref="H13"/>
    </sheetView>
  </sheetViews>
  <sheetFormatPr defaultRowHeight="15" x14ac:dyDescent="0.25"/>
  <cols>
    <col min="2" max="2" width="4.28515625" customWidth="1"/>
    <col min="3" max="3" width="52" customWidth="1"/>
    <col min="4" max="4" width="15.140625" customWidth="1"/>
    <col min="6" max="6" width="10" customWidth="1"/>
    <col min="10" max="10" width="9.7109375" customWidth="1"/>
  </cols>
  <sheetData>
    <row r="1" spans="1:6" x14ac:dyDescent="0.25">
      <c r="A1" t="s">
        <v>35</v>
      </c>
      <c r="B1" t="s">
        <v>94</v>
      </c>
    </row>
    <row r="2" spans="1:6" x14ac:dyDescent="0.25">
      <c r="B2" t="s">
        <v>170</v>
      </c>
    </row>
    <row r="3" spans="1:6" x14ac:dyDescent="0.25">
      <c r="B3" t="s">
        <v>171</v>
      </c>
    </row>
    <row r="5" spans="1:6" x14ac:dyDescent="0.25">
      <c r="A5" t="s">
        <v>36</v>
      </c>
    </row>
    <row r="6" spans="1:6" x14ac:dyDescent="0.25">
      <c r="B6" s="2"/>
      <c r="C6" t="s">
        <v>38</v>
      </c>
    </row>
    <row r="7" spans="1:6" x14ac:dyDescent="0.25">
      <c r="B7" s="1"/>
      <c r="C7" t="s">
        <v>37</v>
      </c>
    </row>
    <row r="8" spans="1:6" x14ac:dyDescent="0.25">
      <c r="B8" s="48" t="s">
        <v>209</v>
      </c>
    </row>
    <row r="9" spans="1:6" x14ac:dyDescent="0.25">
      <c r="C9" t="s">
        <v>210</v>
      </c>
    </row>
    <row r="10" spans="1:6" x14ac:dyDescent="0.25">
      <c r="C10" t="s">
        <v>211</v>
      </c>
    </row>
    <row r="11" spans="1:6" x14ac:dyDescent="0.25">
      <c r="C11" s="12" t="s">
        <v>128</v>
      </c>
    </row>
    <row r="12" spans="1:6" x14ac:dyDescent="0.25">
      <c r="C12" s="12"/>
    </row>
    <row r="13" spans="1:6" x14ac:dyDescent="0.25">
      <c r="A13" s="101" t="s">
        <v>169</v>
      </c>
      <c r="B13" s="48"/>
      <c r="C13" s="80"/>
      <c r="D13" s="48"/>
      <c r="E13" s="48"/>
      <c r="F13" s="48"/>
    </row>
    <row r="14" spans="1:6" x14ac:dyDescent="0.25">
      <c r="A14" t="s">
        <v>231</v>
      </c>
    </row>
    <row r="15" spans="1:6" x14ac:dyDescent="0.25">
      <c r="A15" t="s">
        <v>53</v>
      </c>
    </row>
    <row r="16" spans="1:6" x14ac:dyDescent="0.25">
      <c r="B16" t="s">
        <v>54</v>
      </c>
      <c r="C16" t="s">
        <v>55</v>
      </c>
    </row>
    <row r="17" spans="1:10" x14ac:dyDescent="0.25">
      <c r="B17" t="s">
        <v>56</v>
      </c>
      <c r="C17" t="s">
        <v>212</v>
      </c>
    </row>
    <row r="18" spans="1:10" x14ac:dyDescent="0.25">
      <c r="C18" t="s">
        <v>213</v>
      </c>
    </row>
    <row r="19" spans="1:10" x14ac:dyDescent="0.25">
      <c r="B19" t="s">
        <v>57</v>
      </c>
      <c r="C19" t="s">
        <v>172</v>
      </c>
    </row>
    <row r="20" spans="1:10" x14ac:dyDescent="0.25">
      <c r="B20" t="s">
        <v>58</v>
      </c>
      <c r="C20" t="s">
        <v>95</v>
      </c>
    </row>
    <row r="21" spans="1:10" ht="30.75" customHeight="1" x14ac:dyDescent="0.25">
      <c r="B21" s="122" t="s">
        <v>59</v>
      </c>
      <c r="C21" s="153" t="s">
        <v>91</v>
      </c>
      <c r="D21" s="153"/>
      <c r="E21" s="153"/>
      <c r="F21" s="153"/>
      <c r="G21" s="153"/>
      <c r="H21" s="153"/>
      <c r="I21" s="153"/>
      <c r="J21" s="153"/>
    </row>
    <row r="22" spans="1:10" x14ac:dyDescent="0.25">
      <c r="B22" t="s">
        <v>60</v>
      </c>
      <c r="C22" t="s">
        <v>214</v>
      </c>
    </row>
    <row r="23" spans="1:10" x14ac:dyDescent="0.25">
      <c r="C23" t="s">
        <v>215</v>
      </c>
    </row>
    <row r="24" spans="1:10" x14ac:dyDescent="0.25">
      <c r="C24" t="s">
        <v>216</v>
      </c>
    </row>
    <row r="25" spans="1:10" x14ac:dyDescent="0.25">
      <c r="B25" t="s">
        <v>62</v>
      </c>
      <c r="C25" t="s">
        <v>217</v>
      </c>
    </row>
    <row r="26" spans="1:10" x14ac:dyDescent="0.25">
      <c r="C26" t="s">
        <v>218</v>
      </c>
    </row>
    <row r="27" spans="1:10" x14ac:dyDescent="0.25">
      <c r="C27" t="s">
        <v>219</v>
      </c>
    </row>
    <row r="28" spans="1:10" x14ac:dyDescent="0.25">
      <c r="C28" t="s">
        <v>198</v>
      </c>
    </row>
    <row r="29" spans="1:10" x14ac:dyDescent="0.25">
      <c r="A29" t="s">
        <v>96</v>
      </c>
    </row>
    <row r="30" spans="1:10" x14ac:dyDescent="0.25">
      <c r="B30" t="s">
        <v>54</v>
      </c>
      <c r="C30" t="s">
        <v>148</v>
      </c>
    </row>
    <row r="31" spans="1:10" x14ac:dyDescent="0.25">
      <c r="B31" t="s">
        <v>56</v>
      </c>
      <c r="C31" t="s">
        <v>97</v>
      </c>
    </row>
    <row r="32" spans="1:10" x14ac:dyDescent="0.25">
      <c r="B32" t="s">
        <v>57</v>
      </c>
      <c r="C32" t="s">
        <v>69</v>
      </c>
    </row>
    <row r="33" spans="1:4" x14ac:dyDescent="0.25">
      <c r="B33" t="s">
        <v>58</v>
      </c>
      <c r="C33" t="s">
        <v>98</v>
      </c>
    </row>
    <row r="34" spans="1:4" x14ac:dyDescent="0.25">
      <c r="B34" t="s">
        <v>59</v>
      </c>
      <c r="C34" t="s">
        <v>110</v>
      </c>
    </row>
    <row r="35" spans="1:4" x14ac:dyDescent="0.25">
      <c r="B35" t="s">
        <v>60</v>
      </c>
      <c r="C35" t="s">
        <v>220</v>
      </c>
    </row>
    <row r="36" spans="1:4" x14ac:dyDescent="0.25">
      <c r="B36" t="s">
        <v>62</v>
      </c>
      <c r="C36" t="s">
        <v>149</v>
      </c>
    </row>
    <row r="38" spans="1:4" x14ac:dyDescent="0.25">
      <c r="A38" t="s">
        <v>159</v>
      </c>
      <c r="D38" t="s">
        <v>80</v>
      </c>
    </row>
    <row r="39" spans="1:4" x14ac:dyDescent="0.25">
      <c r="B39" t="s">
        <v>233</v>
      </c>
    </row>
    <row r="40" spans="1:4" x14ac:dyDescent="0.25">
      <c r="C40" t="s">
        <v>234</v>
      </c>
    </row>
    <row r="41" spans="1:4" x14ac:dyDescent="0.25">
      <c r="B41" t="s">
        <v>54</v>
      </c>
      <c r="C41" t="s">
        <v>221</v>
      </c>
      <c r="D41" t="s">
        <v>175</v>
      </c>
    </row>
    <row r="42" spans="1:4" x14ac:dyDescent="0.25">
      <c r="C42" t="s">
        <v>222</v>
      </c>
    </row>
    <row r="44" spans="1:4" x14ac:dyDescent="0.25">
      <c r="A44" t="s">
        <v>203</v>
      </c>
      <c r="D44" t="s">
        <v>80</v>
      </c>
    </row>
    <row r="45" spans="1:4" x14ac:dyDescent="0.25">
      <c r="B45" t="s">
        <v>54</v>
      </c>
      <c r="C45" t="s">
        <v>158</v>
      </c>
    </row>
    <row r="46" spans="1:4" ht="30" x14ac:dyDescent="0.25">
      <c r="C46" s="153" t="s">
        <v>232</v>
      </c>
    </row>
    <row r="47" spans="1:4" x14ac:dyDescent="0.25">
      <c r="B47" t="s">
        <v>157</v>
      </c>
      <c r="C47" t="s">
        <v>223</v>
      </c>
      <c r="D47" t="s">
        <v>160</v>
      </c>
    </row>
    <row r="49" spans="1:14" x14ac:dyDescent="0.25">
      <c r="A49" t="s">
        <v>104</v>
      </c>
    </row>
    <row r="50" spans="1:14" x14ac:dyDescent="0.25">
      <c r="B50" t="s">
        <v>224</v>
      </c>
    </row>
    <row r="51" spans="1:14" x14ac:dyDescent="0.25">
      <c r="C51" t="s">
        <v>225</v>
      </c>
    </row>
    <row r="52" spans="1:14" x14ac:dyDescent="0.25">
      <c r="C52" t="s">
        <v>226</v>
      </c>
    </row>
    <row r="53" spans="1:14" x14ac:dyDescent="0.25">
      <c r="C53" t="s">
        <v>227</v>
      </c>
    </row>
    <row r="54" spans="1:14" x14ac:dyDescent="0.25">
      <c r="A54" t="s">
        <v>103</v>
      </c>
    </row>
    <row r="55" spans="1:14" x14ac:dyDescent="0.25">
      <c r="B55" t="s">
        <v>228</v>
      </c>
    </row>
    <row r="56" spans="1:14" x14ac:dyDescent="0.25">
      <c r="C56" t="s">
        <v>229</v>
      </c>
    </row>
    <row r="57" spans="1:14" x14ac:dyDescent="0.25">
      <c r="A57" t="s">
        <v>152</v>
      </c>
      <c r="D57" t="s">
        <v>80</v>
      </c>
    </row>
    <row r="58" spans="1:14" x14ac:dyDescent="0.25">
      <c r="A58" s="163" t="s">
        <v>150</v>
      </c>
      <c r="B58" s="12" t="s">
        <v>54</v>
      </c>
      <c r="C58" s="98" t="s">
        <v>235</v>
      </c>
      <c r="D58" s="80"/>
      <c r="E58" s="80"/>
      <c r="F58" s="80"/>
      <c r="I58" s="80"/>
      <c r="J58" s="12"/>
      <c r="K58" s="12"/>
      <c r="L58" s="12"/>
      <c r="M58" s="12"/>
      <c r="N58" s="12"/>
    </row>
    <row r="59" spans="1:14" x14ac:dyDescent="0.25">
      <c r="A59" s="163"/>
      <c r="B59" s="12" t="s">
        <v>56</v>
      </c>
      <c r="C59" s="98" t="s">
        <v>236</v>
      </c>
      <c r="D59" s="80"/>
      <c r="E59" s="80"/>
      <c r="F59" s="80"/>
      <c r="I59" s="80"/>
      <c r="J59" s="12"/>
      <c r="K59" s="12"/>
      <c r="L59" s="12"/>
      <c r="M59" s="12"/>
      <c r="N59" s="12"/>
    </row>
    <row r="60" spans="1:14" x14ac:dyDescent="0.25">
      <c r="A60" s="163"/>
      <c r="B60" s="12"/>
      <c r="C60" s="98" t="s">
        <v>237</v>
      </c>
      <c r="E60" s="80"/>
      <c r="F60" s="80"/>
      <c r="I60" s="80"/>
      <c r="J60" s="12"/>
      <c r="K60" s="12"/>
      <c r="L60" s="12"/>
      <c r="M60" s="12"/>
      <c r="N60" s="12"/>
    </row>
    <row r="61" spans="1:14" x14ac:dyDescent="0.25">
      <c r="A61" s="163"/>
      <c r="B61" s="12" t="s">
        <v>57</v>
      </c>
      <c r="C61" s="98" t="s">
        <v>113</v>
      </c>
      <c r="D61" s="80" t="s">
        <v>127</v>
      </c>
      <c r="E61" s="80"/>
      <c r="F61" s="80"/>
      <c r="I61" s="80"/>
      <c r="J61" s="12"/>
      <c r="K61" s="12"/>
      <c r="L61" s="12"/>
      <c r="M61" s="12"/>
      <c r="N61" s="12"/>
    </row>
    <row r="62" spans="1:14" x14ac:dyDescent="0.25">
      <c r="A62" s="164"/>
      <c r="B62" s="75" t="s">
        <v>58</v>
      </c>
      <c r="C62" s="99" t="s">
        <v>126</v>
      </c>
      <c r="D62" s="88" t="s">
        <v>238</v>
      </c>
      <c r="E62" s="88"/>
      <c r="F62" s="88"/>
      <c r="G62" s="75"/>
      <c r="H62" s="75"/>
      <c r="I62" s="88"/>
      <c r="J62" s="75"/>
      <c r="K62" s="12"/>
      <c r="L62" s="12"/>
      <c r="N62" s="12"/>
    </row>
    <row r="63" spans="1:14" x14ac:dyDescent="0.25">
      <c r="A63" s="165" t="s">
        <v>151</v>
      </c>
      <c r="B63" t="s">
        <v>59</v>
      </c>
      <c r="C63" s="47" t="s">
        <v>239</v>
      </c>
      <c r="D63" s="48"/>
      <c r="E63" s="48"/>
      <c r="F63" s="48"/>
      <c r="I63" s="48"/>
      <c r="L63" s="12"/>
      <c r="N63" s="12"/>
    </row>
    <row r="64" spans="1:14" x14ac:dyDescent="0.25">
      <c r="A64" s="165"/>
      <c r="B64" t="s">
        <v>60</v>
      </c>
      <c r="C64" s="47" t="s">
        <v>240</v>
      </c>
      <c r="D64" s="48"/>
      <c r="E64" s="48"/>
      <c r="F64" s="48"/>
      <c r="I64" s="48"/>
    </row>
    <row r="65" spans="1:15" x14ac:dyDescent="0.25">
      <c r="A65" s="165"/>
      <c r="B65" t="s">
        <v>62</v>
      </c>
      <c r="C65" s="47" t="s">
        <v>113</v>
      </c>
      <c r="D65" s="48" t="s">
        <v>129</v>
      </c>
      <c r="E65" s="48"/>
      <c r="F65" s="48"/>
      <c r="I65" s="48"/>
    </row>
    <row r="66" spans="1:15" x14ac:dyDescent="0.25">
      <c r="A66" s="165"/>
      <c r="B66" t="s">
        <v>72</v>
      </c>
      <c r="C66" s="47" t="s">
        <v>126</v>
      </c>
      <c r="D66" s="80" t="s">
        <v>241</v>
      </c>
      <c r="E66" s="48"/>
      <c r="F66" s="48"/>
      <c r="I66" s="48"/>
    </row>
    <row r="68" spans="1:15" x14ac:dyDescent="0.25">
      <c r="A68" t="s">
        <v>153</v>
      </c>
      <c r="D68" t="s">
        <v>80</v>
      </c>
    </row>
    <row r="69" spans="1:15" x14ac:dyDescent="0.25">
      <c r="A69" s="163" t="s">
        <v>150</v>
      </c>
      <c r="B69" s="12" t="s">
        <v>54</v>
      </c>
      <c r="C69" s="98" t="s">
        <v>242</v>
      </c>
      <c r="D69" s="80"/>
      <c r="E69" s="80"/>
      <c r="F69" s="80"/>
      <c r="I69" s="12"/>
      <c r="J69" s="12"/>
      <c r="K69" s="12"/>
      <c r="L69" s="12"/>
    </row>
    <row r="70" spans="1:15" x14ac:dyDescent="0.25">
      <c r="A70" s="163"/>
      <c r="B70" s="12" t="s">
        <v>56</v>
      </c>
      <c r="C70" s="98" t="s">
        <v>243</v>
      </c>
      <c r="D70" s="80"/>
      <c r="E70" s="80"/>
      <c r="F70" s="80"/>
      <c r="I70" s="12"/>
      <c r="J70" s="12"/>
      <c r="K70" s="12"/>
      <c r="L70" s="12"/>
    </row>
    <row r="71" spans="1:15" x14ac:dyDescent="0.25">
      <c r="A71" s="163"/>
      <c r="B71" s="12"/>
      <c r="C71" s="98" t="s">
        <v>237</v>
      </c>
      <c r="E71" s="80"/>
      <c r="F71" s="80"/>
      <c r="I71" s="12"/>
      <c r="J71" s="12"/>
      <c r="K71" s="12"/>
      <c r="L71" s="12"/>
    </row>
    <row r="72" spans="1:15" x14ac:dyDescent="0.25">
      <c r="A72" s="163"/>
      <c r="B72" s="12" t="s">
        <v>57</v>
      </c>
      <c r="C72" s="98" t="s">
        <v>113</v>
      </c>
      <c r="D72" s="80" t="s">
        <v>141</v>
      </c>
      <c r="E72" s="80"/>
      <c r="F72" s="80"/>
      <c r="I72" s="12"/>
      <c r="J72" s="12"/>
      <c r="K72" s="12"/>
      <c r="L72" s="12"/>
    </row>
    <row r="73" spans="1:15" x14ac:dyDescent="0.25">
      <c r="A73" s="164"/>
      <c r="B73" s="75" t="s">
        <v>58</v>
      </c>
      <c r="C73" s="99" t="s">
        <v>140</v>
      </c>
      <c r="D73" s="88" t="s">
        <v>244</v>
      </c>
      <c r="E73" s="88"/>
      <c r="F73" s="88"/>
      <c r="G73" s="75"/>
      <c r="H73" s="75"/>
      <c r="I73" s="75"/>
      <c r="J73" s="75"/>
      <c r="K73" s="12"/>
      <c r="L73" s="12"/>
      <c r="M73" s="12"/>
      <c r="N73" s="12"/>
      <c r="O73" s="12"/>
    </row>
    <row r="74" spans="1:15" x14ac:dyDescent="0.25">
      <c r="A74" s="165" t="s">
        <v>151</v>
      </c>
      <c r="B74" t="s">
        <v>59</v>
      </c>
      <c r="C74" s="47" t="s">
        <v>245</v>
      </c>
      <c r="D74" s="48"/>
      <c r="E74" s="48"/>
      <c r="F74" s="48"/>
      <c r="K74" s="12"/>
      <c r="L74" s="12"/>
      <c r="M74" s="12"/>
      <c r="N74" s="12"/>
    </row>
    <row r="75" spans="1:15" x14ac:dyDescent="0.25">
      <c r="A75" s="165"/>
      <c r="B75" t="s">
        <v>60</v>
      </c>
      <c r="C75" s="47" t="s">
        <v>246</v>
      </c>
      <c r="D75" s="48"/>
      <c r="E75" s="48"/>
      <c r="F75" s="48"/>
    </row>
    <row r="76" spans="1:15" x14ac:dyDescent="0.25">
      <c r="A76" s="165"/>
      <c r="B76" t="s">
        <v>62</v>
      </c>
      <c r="C76" s="47" t="s">
        <v>113</v>
      </c>
      <c r="D76" s="48" t="s">
        <v>142</v>
      </c>
      <c r="E76" s="48"/>
      <c r="F76" s="48"/>
    </row>
    <row r="77" spans="1:15" x14ac:dyDescent="0.25">
      <c r="A77" s="165"/>
      <c r="B77" t="s">
        <v>72</v>
      </c>
      <c r="C77" s="47" t="s">
        <v>140</v>
      </c>
      <c r="D77" s="48" t="s">
        <v>247</v>
      </c>
      <c r="E77" s="48"/>
      <c r="F77" s="48"/>
    </row>
  </sheetData>
  <sheetProtection algorithmName="SHA-512" hashValue="u+dr7jNr1DdGO9W7TPUVI4LkeXjRVRgjMPCChvVI3t5iseYZAJrUjb9dPSv/oPSGFV8+YbT5DzZCsRvCqZ0kxw==" saltValue="slbdu/vv3Y32Eubc1+vKNg==" spinCount="100000" sheet="1" objects="1"/>
  <mergeCells count="4">
    <mergeCell ref="A58:A62"/>
    <mergeCell ref="A63:A66"/>
    <mergeCell ref="A69:A73"/>
    <mergeCell ref="A74:A77"/>
  </mergeCells>
  <pageMargins left="0.7" right="0.7" top="0.75" bottom="0.75" header="0.3" footer="0.3"/>
  <pageSetup orientation="portrait" horizontalDpi="1200" verticalDpi="1200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D5EE-5050-4381-9C59-CBD631538227}">
  <dimension ref="A1:K82"/>
  <sheetViews>
    <sheetView topLeftCell="A10" workbookViewId="0">
      <selection activeCell="B31" sqref="B31"/>
    </sheetView>
  </sheetViews>
  <sheetFormatPr defaultRowHeight="15" x14ac:dyDescent="0.25"/>
  <cols>
    <col min="1" max="1" width="36.7109375" customWidth="1"/>
    <col min="2" max="2" width="15.5703125" customWidth="1"/>
    <col min="3" max="3" width="11.140625" customWidth="1"/>
    <col min="4" max="4" width="10.5703125" bestFit="1" customWidth="1"/>
    <col min="5" max="5" width="11.85546875" customWidth="1"/>
    <col min="6" max="6" width="20.7109375" customWidth="1"/>
    <col min="7" max="7" width="20" customWidth="1"/>
    <col min="8" max="8" width="19" customWidth="1"/>
    <col min="9" max="9" width="15.85546875" customWidth="1"/>
  </cols>
  <sheetData>
    <row r="1" spans="1:11" x14ac:dyDescent="0.25">
      <c r="A1" s="18" t="s">
        <v>40</v>
      </c>
      <c r="B1" s="19"/>
      <c r="C1" s="19"/>
      <c r="D1" s="20"/>
    </row>
    <row r="2" spans="1:11" x14ac:dyDescent="0.25">
      <c r="A2" s="92" t="s">
        <v>48</v>
      </c>
      <c r="B2" s="149"/>
      <c r="C2" s="150"/>
      <c r="D2" s="151"/>
      <c r="E2" s="17"/>
      <c r="F2" s="2"/>
      <c r="G2" t="s">
        <v>38</v>
      </c>
      <c r="I2" s="17"/>
    </row>
    <row r="3" spans="1:11" x14ac:dyDescent="0.25">
      <c r="A3" s="92" t="s">
        <v>49</v>
      </c>
      <c r="B3" s="152"/>
      <c r="C3" s="150"/>
      <c r="D3" s="151"/>
      <c r="E3" s="17"/>
      <c r="F3" s="1"/>
      <c r="G3" t="s">
        <v>37</v>
      </c>
      <c r="I3" s="17"/>
    </row>
    <row r="4" spans="1:11" x14ac:dyDescent="0.25">
      <c r="A4" s="22"/>
      <c r="B4" s="12"/>
      <c r="C4" s="12"/>
      <c r="D4" s="23"/>
      <c r="E4" s="12"/>
      <c r="F4" s="12"/>
      <c r="G4" s="12"/>
      <c r="H4" s="12"/>
      <c r="I4" s="12"/>
    </row>
    <row r="5" spans="1:11" x14ac:dyDescent="0.25">
      <c r="A5" s="166" t="s">
        <v>196</v>
      </c>
      <c r="B5" s="93" t="s">
        <v>1</v>
      </c>
      <c r="C5" s="126"/>
      <c r="D5" s="24" t="s">
        <v>0</v>
      </c>
      <c r="E5" s="12"/>
      <c r="F5" s="12"/>
    </row>
    <row r="6" spans="1:11" x14ac:dyDescent="0.25">
      <c r="A6" s="167"/>
      <c r="B6" s="93" t="s">
        <v>2</v>
      </c>
      <c r="C6" s="126"/>
      <c r="D6" s="24" t="s">
        <v>0</v>
      </c>
      <c r="E6" s="12"/>
      <c r="F6" s="12"/>
      <c r="G6" s="58"/>
    </row>
    <row r="7" spans="1:11" x14ac:dyDescent="0.25">
      <c r="A7" s="167"/>
      <c r="B7" s="93" t="s">
        <v>3</v>
      </c>
      <c r="C7" s="126"/>
      <c r="D7" s="24" t="s">
        <v>0</v>
      </c>
      <c r="E7" s="12"/>
      <c r="F7" s="12"/>
    </row>
    <row r="8" spans="1:11" x14ac:dyDescent="0.25">
      <c r="A8" s="167"/>
      <c r="B8" s="93" t="s">
        <v>4</v>
      </c>
      <c r="C8" s="126"/>
      <c r="D8" s="24" t="s">
        <v>0</v>
      </c>
      <c r="E8" s="12"/>
      <c r="F8" s="12"/>
    </row>
    <row r="9" spans="1:11" x14ac:dyDescent="0.25">
      <c r="A9" s="168"/>
      <c r="B9" s="93" t="s">
        <v>5</v>
      </c>
      <c r="C9" s="6">
        <f>SUM(C5:C8)</f>
        <v>0</v>
      </c>
      <c r="D9" s="24" t="s">
        <v>0</v>
      </c>
      <c r="E9" s="12"/>
      <c r="F9" s="12"/>
    </row>
    <row r="10" spans="1:11" ht="15.75" thickBot="1" x14ac:dyDescent="0.3">
      <c r="A10" s="154" t="s">
        <v>197</v>
      </c>
      <c r="B10" s="155"/>
      <c r="C10" s="126"/>
      <c r="D10" s="24" t="s">
        <v>6</v>
      </c>
      <c r="E10" s="12"/>
      <c r="F10" s="12"/>
    </row>
    <row r="11" spans="1:11" x14ac:dyDescent="0.25">
      <c r="A11" s="154" t="s">
        <v>50</v>
      </c>
      <c r="B11" s="155"/>
      <c r="C11" s="127"/>
      <c r="D11" s="24" t="s">
        <v>0</v>
      </c>
      <c r="E11" s="53">
        <f>CONVERT(C11, "us_acre","m^2")</f>
        <v>0</v>
      </c>
      <c r="F11" s="52" t="s">
        <v>88</v>
      </c>
      <c r="G11" s="15"/>
      <c r="H11" s="14"/>
      <c r="I11" s="12"/>
    </row>
    <row r="12" spans="1:11" x14ac:dyDescent="0.25">
      <c r="A12" s="154" t="s">
        <v>51</v>
      </c>
      <c r="B12" s="155"/>
      <c r="C12" s="128"/>
      <c r="D12" s="24" t="s">
        <v>0</v>
      </c>
      <c r="E12" s="54">
        <f>CONVERT(C12, "us_acre","m^2")</f>
        <v>0</v>
      </c>
      <c r="F12" s="24" t="s">
        <v>88</v>
      </c>
      <c r="G12" s="15"/>
      <c r="H12" s="14"/>
      <c r="I12" s="12"/>
    </row>
    <row r="13" spans="1:11" ht="15.75" thickBot="1" x14ac:dyDescent="0.3">
      <c r="A13" s="160" t="s">
        <v>52</v>
      </c>
      <c r="B13" s="161"/>
      <c r="C13" s="129"/>
      <c r="D13" s="25" t="s">
        <v>28</v>
      </c>
      <c r="E13" s="55">
        <f>C13*1233.48</f>
        <v>0</v>
      </c>
      <c r="F13" s="25" t="s">
        <v>89</v>
      </c>
      <c r="G13" s="116"/>
    </row>
    <row r="14" spans="1:11" ht="15.75" thickBot="1" x14ac:dyDescent="0.3"/>
    <row r="15" spans="1:11" x14ac:dyDescent="0.25">
      <c r="A15" s="18" t="s">
        <v>41</v>
      </c>
      <c r="B15" s="19"/>
      <c r="C15" s="19"/>
      <c r="D15" s="19"/>
      <c r="E15" s="19"/>
      <c r="F15" s="19"/>
      <c r="G15" s="19"/>
      <c r="H15" s="19"/>
      <c r="I15" s="20"/>
      <c r="K15" s="59" t="b">
        <f>IF(ISBLANK(B16),TRUE,IF(B16&gt;6.5,TRUE,FALSE))</f>
        <v>1</v>
      </c>
    </row>
    <row r="16" spans="1:11" x14ac:dyDescent="0.25">
      <c r="A16" s="92" t="s">
        <v>83</v>
      </c>
      <c r="B16" s="130"/>
      <c r="C16" s="93" t="s">
        <v>8</v>
      </c>
      <c r="D16" s="93"/>
      <c r="E16" s="12"/>
      <c r="F16" s="93" t="s">
        <v>108</v>
      </c>
      <c r="G16" s="5"/>
      <c r="H16" s="93" t="s">
        <v>29</v>
      </c>
      <c r="I16" s="125"/>
      <c r="K16" s="59" t="b">
        <f>IF(ISBLANK(B17),TRUE,IF(B17&gt;15,TRUE,FALSE))</f>
        <v>1</v>
      </c>
    </row>
    <row r="17" spans="1:10" ht="18" x14ac:dyDescent="0.35">
      <c r="A17" s="92" t="s">
        <v>84</v>
      </c>
      <c r="B17" s="126"/>
      <c r="C17" s="93" t="s">
        <v>7</v>
      </c>
      <c r="D17" s="93"/>
      <c r="E17" s="12"/>
      <c r="F17" s="93" t="s">
        <v>109</v>
      </c>
      <c r="G17" s="4"/>
      <c r="H17" s="93" t="s">
        <v>29</v>
      </c>
      <c r="I17" s="125"/>
    </row>
    <row r="18" spans="1:10" x14ac:dyDescent="0.25">
      <c r="A18" s="92" t="s">
        <v>61</v>
      </c>
      <c r="B18" s="131"/>
      <c r="C18" s="7"/>
      <c r="D18" s="93"/>
      <c r="E18" s="12"/>
      <c r="F18" s="12"/>
      <c r="G18" s="12"/>
      <c r="H18" s="12"/>
      <c r="I18" s="23"/>
    </row>
    <row r="19" spans="1:10" ht="30.75" thickBot="1" x14ac:dyDescent="0.3">
      <c r="A19" s="60" t="s">
        <v>85</v>
      </c>
      <c r="B19" s="132"/>
      <c r="C19" s="95" t="s">
        <v>34</v>
      </c>
      <c r="D19" s="51"/>
      <c r="E19" s="12"/>
      <c r="F19" s="158" t="str">
        <f>IF(K15=FALSE, "WARNING-LOW pH", " ")</f>
        <v xml:space="preserve"> </v>
      </c>
      <c r="G19" s="12"/>
      <c r="H19" s="12"/>
      <c r="I19" s="23"/>
    </row>
    <row r="20" spans="1:10" ht="15.75" thickBot="1" x14ac:dyDescent="0.3">
      <c r="A20" s="94" t="s">
        <v>86</v>
      </c>
      <c r="B20" s="132"/>
      <c r="C20" s="57" t="s">
        <v>8</v>
      </c>
      <c r="D20" s="95"/>
      <c r="E20" s="28"/>
      <c r="F20" s="159" t="str">
        <f>IF(K16=FALSE, "WARNING-LOW ALKALINITY", " ")</f>
        <v xml:space="preserve"> </v>
      </c>
      <c r="G20" s="28"/>
      <c r="H20" s="28"/>
      <c r="I20" s="29"/>
    </row>
    <row r="21" spans="1:10" s="12" customFormat="1" ht="15.75" thickBot="1" x14ac:dyDescent="0.3">
      <c r="B21" s="15"/>
      <c r="C21" s="14"/>
    </row>
    <row r="22" spans="1:10" s="12" customFormat="1" ht="15.75" thickBot="1" x14ac:dyDescent="0.3">
      <c r="A22" s="104" t="s">
        <v>174</v>
      </c>
      <c r="B22" s="105"/>
      <c r="C22" s="14"/>
    </row>
    <row r="23" spans="1:10" s="12" customFormat="1" x14ac:dyDescent="0.25">
      <c r="A23" s="31" t="s">
        <v>147</v>
      </c>
      <c r="B23" s="30">
        <f>'Tab 2 Sediment Testing'!B20</f>
        <v>0</v>
      </c>
      <c r="C23" s="93" t="s">
        <v>17</v>
      </c>
      <c r="D23" s="24" t="s">
        <v>204</v>
      </c>
      <c r="E23" s="11">
        <f>B23*8.92179</f>
        <v>0</v>
      </c>
      <c r="F23" s="93" t="s">
        <v>25</v>
      </c>
      <c r="G23" s="24" t="s">
        <v>26</v>
      </c>
    </row>
    <row r="24" spans="1:10" s="12" customFormat="1" ht="15.75" thickBot="1" x14ac:dyDescent="0.3"/>
    <row r="25" spans="1:10" s="12" customFormat="1" x14ac:dyDescent="0.25">
      <c r="A25" s="18" t="s">
        <v>162</v>
      </c>
      <c r="B25" s="19"/>
      <c r="C25" s="19"/>
      <c r="D25" s="20"/>
    </row>
    <row r="26" spans="1:10" s="12" customFormat="1" x14ac:dyDescent="0.25">
      <c r="A26" s="31" t="s">
        <v>147</v>
      </c>
      <c r="B26" s="133"/>
      <c r="C26" s="107" t="s">
        <v>17</v>
      </c>
      <c r="D26" s="24" t="s">
        <v>204</v>
      </c>
      <c r="E26" s="11">
        <f>B26*8.92179</f>
        <v>0</v>
      </c>
      <c r="F26" s="107" t="s">
        <v>25</v>
      </c>
      <c r="G26" s="24" t="s">
        <v>26</v>
      </c>
    </row>
    <row r="27" spans="1:10" x14ac:dyDescent="0.25">
      <c r="A27" s="92" t="s">
        <v>173</v>
      </c>
      <c r="B27" s="56">
        <f>B26*E12</f>
        <v>0</v>
      </c>
      <c r="C27" s="93" t="s">
        <v>117</v>
      </c>
      <c r="D27" s="24" t="s">
        <v>204</v>
      </c>
      <c r="E27" s="11">
        <f>CONVERT(B27, "g", "lbm")</f>
        <v>0</v>
      </c>
      <c r="F27" s="102" t="s">
        <v>118</v>
      </c>
      <c r="G27" s="24" t="s">
        <v>26</v>
      </c>
      <c r="H27" s="12"/>
      <c r="I27" s="12"/>
      <c r="J27" s="12"/>
    </row>
    <row r="28" spans="1:10" x14ac:dyDescent="0.25">
      <c r="A28" s="103"/>
      <c r="E28" s="12"/>
      <c r="F28" s="12"/>
      <c r="G28" s="96"/>
      <c r="H28" s="12"/>
      <c r="I28" s="12"/>
      <c r="J28" s="12"/>
    </row>
    <row r="29" spans="1:10" ht="15.75" thickBot="1" x14ac:dyDescent="0.3">
      <c r="A29" s="106"/>
      <c r="H29" s="12"/>
      <c r="I29" s="12"/>
      <c r="J29" s="12"/>
    </row>
    <row r="30" spans="1:10" x14ac:dyDescent="0.25">
      <c r="A30" s="18" t="s">
        <v>42</v>
      </c>
      <c r="B30" s="19"/>
      <c r="C30" s="19"/>
      <c r="D30" s="19"/>
      <c r="E30" s="19"/>
      <c r="F30" s="19"/>
      <c r="G30" s="20"/>
      <c r="H30" s="80"/>
      <c r="I30" s="80"/>
      <c r="J30" s="12"/>
    </row>
    <row r="31" spans="1:10" x14ac:dyDescent="0.25">
      <c r="A31" s="46" t="s">
        <v>47</v>
      </c>
      <c r="B31" s="134"/>
      <c r="C31" s="12"/>
      <c r="D31" s="12"/>
      <c r="E31" s="12"/>
      <c r="F31" s="12"/>
      <c r="G31" s="23"/>
      <c r="H31" s="80"/>
      <c r="I31" s="80"/>
      <c r="J31" s="12"/>
    </row>
    <row r="32" spans="1:10" x14ac:dyDescent="0.25">
      <c r="A32" s="22" t="s">
        <v>39</v>
      </c>
      <c r="B32" s="135"/>
      <c r="C32" s="12" t="s">
        <v>107</v>
      </c>
      <c r="D32" s="12"/>
      <c r="E32" s="12"/>
      <c r="F32" s="12"/>
      <c r="G32" s="23"/>
      <c r="H32" s="80"/>
      <c r="I32" s="80"/>
      <c r="J32" s="12"/>
    </row>
    <row r="33" spans="1:10" x14ac:dyDescent="0.25">
      <c r="A33" s="22"/>
      <c r="B33" s="12"/>
      <c r="C33" s="12"/>
      <c r="D33" s="12"/>
      <c r="E33" s="12"/>
      <c r="F33" s="12"/>
      <c r="G33" s="23"/>
      <c r="H33" s="80"/>
      <c r="I33" s="80"/>
      <c r="J33" s="12"/>
    </row>
    <row r="34" spans="1:10" x14ac:dyDescent="0.25">
      <c r="A34" s="40" t="s">
        <v>27</v>
      </c>
      <c r="B34" s="12"/>
      <c r="C34" s="12"/>
      <c r="D34" s="12"/>
      <c r="E34" s="12"/>
      <c r="F34" s="12"/>
      <c r="G34" s="124"/>
      <c r="H34" s="80"/>
      <c r="I34" s="80"/>
      <c r="J34" s="12"/>
    </row>
    <row r="35" spans="1:10" ht="75" x14ac:dyDescent="0.25">
      <c r="A35" s="41" t="s">
        <v>31</v>
      </c>
      <c r="B35" s="114" t="s">
        <v>205</v>
      </c>
      <c r="C35" s="38" t="s">
        <v>161</v>
      </c>
      <c r="D35" s="38" t="s">
        <v>43</v>
      </c>
      <c r="E35" s="38" t="s">
        <v>44</v>
      </c>
      <c r="F35" s="38" t="s">
        <v>45</v>
      </c>
      <c r="G35" s="42" t="s">
        <v>46</v>
      </c>
      <c r="H35" s="81"/>
      <c r="I35" s="81"/>
      <c r="J35" s="48"/>
    </row>
    <row r="36" spans="1:10" x14ac:dyDescent="0.25">
      <c r="A36" s="41" t="s">
        <v>30</v>
      </c>
      <c r="B36" s="39">
        <v>0</v>
      </c>
      <c r="C36" s="9">
        <v>0</v>
      </c>
      <c r="D36" s="126"/>
      <c r="E36" s="126"/>
      <c r="F36" s="126"/>
      <c r="G36" s="139"/>
      <c r="H36" s="123"/>
      <c r="I36" s="123"/>
      <c r="J36" s="48"/>
    </row>
    <row r="37" spans="1:10" x14ac:dyDescent="0.25">
      <c r="A37" s="43">
        <v>1</v>
      </c>
      <c r="B37" s="136"/>
      <c r="C37" s="8" t="e">
        <f>B37/$B$32</f>
        <v>#DIV/0!</v>
      </c>
      <c r="D37" s="126"/>
      <c r="E37" s="126"/>
      <c r="F37" s="126"/>
      <c r="G37" s="139"/>
      <c r="H37" s="83"/>
      <c r="I37" s="83"/>
      <c r="J37" s="48"/>
    </row>
    <row r="38" spans="1:10" x14ac:dyDescent="0.25">
      <c r="A38" s="43">
        <v>2</v>
      </c>
      <c r="B38" s="137"/>
      <c r="C38" s="8" t="e">
        <f>B38/$B$32</f>
        <v>#DIV/0!</v>
      </c>
      <c r="D38" s="126"/>
      <c r="E38" s="126"/>
      <c r="F38" s="126"/>
      <c r="G38" s="139"/>
      <c r="H38" s="83"/>
      <c r="I38" s="83"/>
      <c r="J38" s="48"/>
    </row>
    <row r="39" spans="1:10" ht="15.75" thickBot="1" x14ac:dyDescent="0.3">
      <c r="A39" s="44">
        <v>3</v>
      </c>
      <c r="B39" s="138"/>
      <c r="C39" s="45" t="e">
        <f>B39/$B$32</f>
        <v>#DIV/0!</v>
      </c>
      <c r="D39" s="132"/>
      <c r="E39" s="132"/>
      <c r="F39" s="132"/>
      <c r="G39" s="140"/>
      <c r="H39" s="83"/>
      <c r="I39" s="83"/>
      <c r="J39" s="48"/>
    </row>
    <row r="42" spans="1:10" x14ac:dyDescent="0.25">
      <c r="A42" s="63" t="s">
        <v>105</v>
      </c>
      <c r="B42" s="64"/>
      <c r="C42" s="64"/>
      <c r="D42" s="64"/>
      <c r="E42" s="64"/>
      <c r="F42" s="64"/>
      <c r="G42" s="64"/>
      <c r="H42" s="65"/>
    </row>
    <row r="43" spans="1:10" x14ac:dyDescent="0.25">
      <c r="A43" s="66"/>
      <c r="B43" s="12"/>
      <c r="C43" s="12"/>
      <c r="D43" s="12"/>
      <c r="E43" s="12"/>
      <c r="F43" s="12"/>
      <c r="G43" s="12"/>
      <c r="H43" s="35"/>
    </row>
    <row r="44" spans="1:10" x14ac:dyDescent="0.25">
      <c r="A44" s="67" t="s">
        <v>90</v>
      </c>
      <c r="B44" s="12"/>
      <c r="C44" s="12"/>
      <c r="D44" s="12"/>
      <c r="E44" s="12"/>
      <c r="F44" s="12"/>
      <c r="G44" s="12"/>
      <c r="H44" s="35"/>
    </row>
    <row r="45" spans="1:10" x14ac:dyDescent="0.25">
      <c r="A45" s="67" t="s">
        <v>186</v>
      </c>
      <c r="B45" s="12"/>
      <c r="C45" s="134"/>
      <c r="D45" s="12" t="s">
        <v>187</v>
      </c>
      <c r="E45" s="12"/>
      <c r="F45" s="12"/>
      <c r="G45" s="12"/>
      <c r="H45" s="35"/>
    </row>
    <row r="46" spans="1:10" x14ac:dyDescent="0.25">
      <c r="A46" s="67"/>
      <c r="B46" s="12"/>
      <c r="C46" s="134"/>
      <c r="D46" s="12" t="s">
        <v>188</v>
      </c>
      <c r="E46" s="12"/>
      <c r="F46" s="12"/>
      <c r="G46" s="12"/>
      <c r="H46" s="35"/>
    </row>
    <row r="47" spans="1:10" ht="60" x14ac:dyDescent="0.25">
      <c r="A47" s="68" t="s">
        <v>156</v>
      </c>
      <c r="B47" s="12" t="s">
        <v>32</v>
      </c>
      <c r="C47" s="69" t="s">
        <v>106</v>
      </c>
      <c r="D47" s="108" t="s">
        <v>168</v>
      </c>
      <c r="E47" s="69" t="s">
        <v>33</v>
      </c>
      <c r="F47" s="70" t="s">
        <v>93</v>
      </c>
      <c r="G47" s="70" t="s">
        <v>189</v>
      </c>
      <c r="H47" s="70" t="s">
        <v>190</v>
      </c>
    </row>
    <row r="48" spans="1:10" x14ac:dyDescent="0.25">
      <c r="A48" s="141"/>
      <c r="B48" s="142"/>
      <c r="C48" s="97" t="e">
        <f>A48/$B$32*2.7194</f>
        <v>#DIV/0!</v>
      </c>
      <c r="D48" s="71" t="e">
        <f>C48*'Tab 1 Main Calculator'!$C$13</f>
        <v>#DIV/0!</v>
      </c>
      <c r="E48" s="72" t="e">
        <f>ROUNDUP(D48/50, 0)</f>
        <v>#DIV/0!</v>
      </c>
      <c r="F48" s="109" t="e">
        <f>A48/220000*1233481/$B$32</f>
        <v>#DIV/0!</v>
      </c>
      <c r="G48" s="73" t="e">
        <f>D48*$C$45</f>
        <v>#DIV/0!</v>
      </c>
      <c r="H48" s="73" t="e">
        <f>F48*$C$46</f>
        <v>#DIV/0!</v>
      </c>
    </row>
    <row r="49" spans="1:8" x14ac:dyDescent="0.25">
      <c r="A49" s="141"/>
      <c r="B49" s="142"/>
      <c r="C49" s="71" t="e">
        <f t="shared" ref="C49:C51" si="0">A49/$B$32*2.7194</f>
        <v>#DIV/0!</v>
      </c>
      <c r="D49" s="71" t="e">
        <f>C49*'Tab 1 Main Calculator'!$C$13</f>
        <v>#DIV/0!</v>
      </c>
      <c r="E49" s="72" t="e">
        <f t="shared" ref="E49:E51" si="1">ROUNDUP(D49/50, 0)</f>
        <v>#DIV/0!</v>
      </c>
      <c r="F49" s="73">
        <f t="shared" ref="F49:F51" si="2">A49/220000*1233481</f>
        <v>0</v>
      </c>
      <c r="G49" s="73" t="e">
        <f t="shared" ref="G49:G54" si="3">D49*$C$45</f>
        <v>#DIV/0!</v>
      </c>
      <c r="H49" s="73">
        <f t="shared" ref="H49:H54" si="4">F49*$C$46</f>
        <v>0</v>
      </c>
    </row>
    <row r="50" spans="1:8" x14ac:dyDescent="0.25">
      <c r="A50" s="141"/>
      <c r="B50" s="142"/>
      <c r="C50" s="71" t="e">
        <f t="shared" si="0"/>
        <v>#DIV/0!</v>
      </c>
      <c r="D50" s="71" t="e">
        <f>C50*'Tab 1 Main Calculator'!$C$13</f>
        <v>#DIV/0!</v>
      </c>
      <c r="E50" s="72" t="e">
        <f t="shared" si="1"/>
        <v>#DIV/0!</v>
      </c>
      <c r="F50" s="73">
        <f t="shared" si="2"/>
        <v>0</v>
      </c>
      <c r="G50" s="73" t="e">
        <f t="shared" si="3"/>
        <v>#DIV/0!</v>
      </c>
      <c r="H50" s="73">
        <f t="shared" si="4"/>
        <v>0</v>
      </c>
    </row>
    <row r="51" spans="1:8" x14ac:dyDescent="0.25">
      <c r="A51" s="141"/>
      <c r="B51" s="142"/>
      <c r="C51" s="71" t="e">
        <f t="shared" si="0"/>
        <v>#DIV/0!</v>
      </c>
      <c r="D51" s="71" t="e">
        <f>C51*'Tab 1 Main Calculator'!$C$13</f>
        <v>#DIV/0!</v>
      </c>
      <c r="E51" s="72" t="e">
        <f t="shared" si="1"/>
        <v>#DIV/0!</v>
      </c>
      <c r="F51" s="73">
        <f t="shared" si="2"/>
        <v>0</v>
      </c>
      <c r="G51" s="73" t="e">
        <f t="shared" si="3"/>
        <v>#DIV/0!</v>
      </c>
      <c r="H51" s="73">
        <f t="shared" si="4"/>
        <v>0</v>
      </c>
    </row>
    <row r="52" spans="1:8" x14ac:dyDescent="0.25">
      <c r="A52" s="141"/>
      <c r="B52" s="142"/>
      <c r="C52" s="71" t="e">
        <f>A52/$B$32*2.7194</f>
        <v>#DIV/0!</v>
      </c>
      <c r="D52" s="71" t="e">
        <f>C52*'Tab 1 Main Calculator'!$C$13</f>
        <v>#DIV/0!</v>
      </c>
      <c r="E52" s="72" t="e">
        <f t="shared" ref="E52:E54" si="5">ROUNDUP(D52/50, 0)</f>
        <v>#DIV/0!</v>
      </c>
      <c r="F52" s="73">
        <f t="shared" ref="F52:F54" si="6">A52/220000*1233481</f>
        <v>0</v>
      </c>
      <c r="G52" s="73" t="e">
        <f t="shared" si="3"/>
        <v>#DIV/0!</v>
      </c>
      <c r="H52" s="73">
        <f t="shared" si="4"/>
        <v>0</v>
      </c>
    </row>
    <row r="53" spans="1:8" x14ac:dyDescent="0.25">
      <c r="A53" s="143"/>
      <c r="B53" s="142"/>
      <c r="C53" s="71" t="e">
        <f>A53/$B$32*2.7194</f>
        <v>#DIV/0!</v>
      </c>
      <c r="D53" s="71" t="e">
        <f>C53*'Tab 1 Main Calculator'!$C$13</f>
        <v>#DIV/0!</v>
      </c>
      <c r="E53" s="72" t="e">
        <f t="shared" si="5"/>
        <v>#DIV/0!</v>
      </c>
      <c r="F53" s="73">
        <f t="shared" si="6"/>
        <v>0</v>
      </c>
      <c r="G53" s="73" t="e">
        <f t="shared" si="3"/>
        <v>#DIV/0!</v>
      </c>
      <c r="H53" s="73">
        <f t="shared" si="4"/>
        <v>0</v>
      </c>
    </row>
    <row r="54" spans="1:8" x14ac:dyDescent="0.25">
      <c r="A54" s="144"/>
      <c r="B54" s="145"/>
      <c r="C54" s="110" t="e">
        <f>A54/$B$32*2.7194</f>
        <v>#DIV/0!</v>
      </c>
      <c r="D54" s="110" t="e">
        <f>C54*'Tab 1 Main Calculator'!$C$13</f>
        <v>#DIV/0!</v>
      </c>
      <c r="E54" s="111" t="e">
        <f t="shared" si="5"/>
        <v>#DIV/0!</v>
      </c>
      <c r="F54" s="112">
        <f t="shared" si="6"/>
        <v>0</v>
      </c>
      <c r="G54" s="112" t="e">
        <f t="shared" si="3"/>
        <v>#DIV/0!</v>
      </c>
      <c r="H54" s="112">
        <f t="shared" si="4"/>
        <v>0</v>
      </c>
    </row>
    <row r="55" spans="1:8" x14ac:dyDescent="0.25">
      <c r="A55" s="74"/>
      <c r="B55" s="75"/>
      <c r="C55" s="75"/>
      <c r="D55" s="75"/>
      <c r="E55" s="75"/>
      <c r="F55" s="76"/>
    </row>
    <row r="56" spans="1:8" x14ac:dyDescent="0.25">
      <c r="A56" s="63" t="s">
        <v>111</v>
      </c>
      <c r="B56" s="77"/>
      <c r="C56" s="77"/>
      <c r="D56" s="77"/>
      <c r="E56" s="77"/>
      <c r="F56" s="78"/>
      <c r="G56" s="48"/>
    </row>
    <row r="57" spans="1:8" x14ac:dyDescent="0.25">
      <c r="A57" s="79" t="s">
        <v>112</v>
      </c>
      <c r="B57" s="80"/>
      <c r="C57" s="81"/>
      <c r="D57" s="81"/>
      <c r="E57" s="80"/>
      <c r="F57" s="82"/>
      <c r="G57" s="48"/>
    </row>
    <row r="58" spans="1:8" x14ac:dyDescent="0.25">
      <c r="A58" s="79" t="s">
        <v>114</v>
      </c>
      <c r="B58" s="142"/>
      <c r="C58" s="83" t="s">
        <v>29</v>
      </c>
      <c r="D58" s="83" t="s">
        <v>146</v>
      </c>
      <c r="E58" s="58"/>
      <c r="F58" s="82"/>
      <c r="G58" s="48"/>
    </row>
    <row r="59" spans="1:8" x14ac:dyDescent="0.25">
      <c r="A59" s="79" t="s">
        <v>121</v>
      </c>
      <c r="B59" s="72">
        <v>0.05</v>
      </c>
      <c r="C59" s="83" t="s">
        <v>29</v>
      </c>
      <c r="D59" s="83" t="s">
        <v>143</v>
      </c>
      <c r="E59" s="58"/>
      <c r="F59" s="82"/>
      <c r="G59" s="48"/>
    </row>
    <row r="60" spans="1:8" x14ac:dyDescent="0.25">
      <c r="A60" s="79" t="s">
        <v>115</v>
      </c>
      <c r="B60" s="72">
        <f>B58-B59</f>
        <v>-0.05</v>
      </c>
      <c r="C60" s="83" t="s">
        <v>29</v>
      </c>
      <c r="D60" s="83"/>
      <c r="E60" s="58"/>
      <c r="F60" s="82"/>
      <c r="G60" s="48"/>
    </row>
    <row r="61" spans="1:8" x14ac:dyDescent="0.25">
      <c r="A61" s="79" t="s">
        <v>116</v>
      </c>
      <c r="B61" s="84">
        <f>CONVERT(D61, "g", "lbm")</f>
        <v>0</v>
      </c>
      <c r="C61" s="83" t="s">
        <v>118</v>
      </c>
      <c r="D61" s="85">
        <f>E13*B60</f>
        <v>0</v>
      </c>
      <c r="E61" s="83" t="s">
        <v>117</v>
      </c>
      <c r="F61" s="82"/>
      <c r="G61" s="48"/>
    </row>
    <row r="62" spans="1:8" x14ac:dyDescent="0.25">
      <c r="A62" s="100" t="s">
        <v>154</v>
      </c>
      <c r="B62" s="12"/>
      <c r="C62" s="12"/>
      <c r="D62" s="12"/>
      <c r="E62" s="12"/>
      <c r="F62" s="35"/>
    </row>
    <row r="63" spans="1:8" x14ac:dyDescent="0.25">
      <c r="A63" s="79" t="s">
        <v>119</v>
      </c>
      <c r="B63" s="80"/>
      <c r="C63" s="81"/>
      <c r="D63" s="81"/>
      <c r="E63" s="80"/>
      <c r="F63" s="35"/>
    </row>
    <row r="64" spans="1:8" x14ac:dyDescent="0.25">
      <c r="A64" s="79" t="s">
        <v>122</v>
      </c>
      <c r="B64" s="142"/>
      <c r="C64" s="83" t="s">
        <v>29</v>
      </c>
      <c r="D64" s="83" t="s">
        <v>120</v>
      </c>
      <c r="E64" s="58"/>
      <c r="F64" s="70"/>
    </row>
    <row r="65" spans="1:6" x14ac:dyDescent="0.25">
      <c r="A65" s="79" t="s">
        <v>123</v>
      </c>
      <c r="B65" s="142"/>
      <c r="C65" s="83" t="s">
        <v>29</v>
      </c>
      <c r="D65" s="83" t="s">
        <v>120</v>
      </c>
      <c r="E65" s="58"/>
      <c r="F65" s="86"/>
    </row>
    <row r="66" spans="1:6" x14ac:dyDescent="0.25">
      <c r="A66" s="79" t="s">
        <v>124</v>
      </c>
      <c r="B66" s="72">
        <f>B64-B65</f>
        <v>0</v>
      </c>
      <c r="C66" s="83" t="s">
        <v>29</v>
      </c>
      <c r="D66" s="83"/>
      <c r="E66" s="58"/>
      <c r="F66" s="86"/>
    </row>
    <row r="67" spans="1:6" x14ac:dyDescent="0.25">
      <c r="A67" s="79" t="s">
        <v>125</v>
      </c>
      <c r="B67" s="84">
        <f>CONVERT(D67, "g", "lbm")</f>
        <v>0</v>
      </c>
      <c r="C67" s="83" t="s">
        <v>118</v>
      </c>
      <c r="D67" s="85">
        <f>E13*B66</f>
        <v>0</v>
      </c>
      <c r="E67" s="83" t="s">
        <v>117</v>
      </c>
      <c r="F67" s="86"/>
    </row>
    <row r="68" spans="1:6" x14ac:dyDescent="0.25">
      <c r="A68" s="87" t="s">
        <v>145</v>
      </c>
      <c r="B68" s="88"/>
      <c r="C68" s="89"/>
      <c r="D68" s="89"/>
      <c r="E68" s="75"/>
      <c r="F68" s="90"/>
    </row>
    <row r="69" spans="1:6" x14ac:dyDescent="0.25">
      <c r="A69" s="100"/>
      <c r="B69" s="48"/>
    </row>
    <row r="70" spans="1:6" x14ac:dyDescent="0.25">
      <c r="A70" s="63" t="s">
        <v>131</v>
      </c>
      <c r="B70" s="77"/>
      <c r="C70" s="77"/>
      <c r="D70" s="77"/>
      <c r="E70" s="77"/>
      <c r="F70" s="78"/>
    </row>
    <row r="71" spans="1:6" x14ac:dyDescent="0.25">
      <c r="A71" s="79" t="s">
        <v>132</v>
      </c>
      <c r="B71" s="80"/>
      <c r="C71" s="81"/>
      <c r="D71" s="81"/>
      <c r="E71" s="80"/>
      <c r="F71" s="82"/>
    </row>
    <row r="72" spans="1:6" x14ac:dyDescent="0.25">
      <c r="A72" s="79" t="s">
        <v>133</v>
      </c>
      <c r="B72" s="142"/>
      <c r="C72" s="83" t="s">
        <v>29</v>
      </c>
      <c r="D72" s="83" t="s">
        <v>146</v>
      </c>
      <c r="E72" s="58"/>
      <c r="F72" s="82"/>
    </row>
    <row r="73" spans="1:6" x14ac:dyDescent="0.25">
      <c r="A73" s="79" t="s">
        <v>134</v>
      </c>
      <c r="B73" s="142">
        <v>6</v>
      </c>
      <c r="C73" s="83" t="s">
        <v>29</v>
      </c>
      <c r="D73" s="83" t="s">
        <v>155</v>
      </c>
      <c r="E73" s="58"/>
      <c r="F73" s="82"/>
    </row>
    <row r="74" spans="1:6" x14ac:dyDescent="0.25">
      <c r="A74" s="79" t="s">
        <v>115</v>
      </c>
      <c r="B74" s="72">
        <f>B72-B73</f>
        <v>-6</v>
      </c>
      <c r="C74" s="83" t="s">
        <v>29</v>
      </c>
      <c r="D74" s="83"/>
      <c r="E74" s="58"/>
      <c r="F74" s="82"/>
    </row>
    <row r="75" spans="1:6" x14ac:dyDescent="0.25">
      <c r="A75" s="79" t="s">
        <v>135</v>
      </c>
      <c r="B75" s="84">
        <f>CONVERT(D75, "g", "lbm")</f>
        <v>0</v>
      </c>
      <c r="C75" s="83" t="s">
        <v>118</v>
      </c>
      <c r="D75" s="85">
        <f>E13*B74</f>
        <v>0</v>
      </c>
      <c r="E75" s="83" t="s">
        <v>117</v>
      </c>
      <c r="F75" s="82"/>
    </row>
    <row r="76" spans="1:6" x14ac:dyDescent="0.25">
      <c r="A76" s="100" t="s">
        <v>154</v>
      </c>
      <c r="B76" s="12"/>
      <c r="C76" s="12"/>
      <c r="D76" s="12"/>
      <c r="E76" s="12"/>
      <c r="F76" s="35"/>
    </row>
    <row r="77" spans="1:6" x14ac:dyDescent="0.25">
      <c r="A77" s="79" t="s">
        <v>136</v>
      </c>
      <c r="B77" s="80"/>
      <c r="C77" s="81"/>
      <c r="D77" s="81"/>
      <c r="E77" s="80"/>
      <c r="F77" s="35"/>
    </row>
    <row r="78" spans="1:6" x14ac:dyDescent="0.25">
      <c r="A78" s="79" t="s">
        <v>137</v>
      </c>
      <c r="B78" s="142"/>
      <c r="C78" s="83" t="s">
        <v>29</v>
      </c>
      <c r="D78" s="83" t="s">
        <v>120</v>
      </c>
      <c r="E78" s="58"/>
      <c r="F78" s="70"/>
    </row>
    <row r="79" spans="1:6" x14ac:dyDescent="0.25">
      <c r="A79" s="79" t="s">
        <v>138</v>
      </c>
      <c r="B79" s="142"/>
      <c r="C79" s="83" t="s">
        <v>29</v>
      </c>
      <c r="D79" s="83" t="s">
        <v>120</v>
      </c>
      <c r="E79" s="58"/>
      <c r="F79" s="86"/>
    </row>
    <row r="80" spans="1:6" x14ac:dyDescent="0.25">
      <c r="A80" s="79" t="s">
        <v>124</v>
      </c>
      <c r="B80" s="72">
        <f>B78-B79</f>
        <v>0</v>
      </c>
      <c r="C80" s="83" t="s">
        <v>29</v>
      </c>
      <c r="D80" s="83"/>
      <c r="E80" s="58"/>
      <c r="F80" s="86"/>
    </row>
    <row r="81" spans="1:6" x14ac:dyDescent="0.25">
      <c r="A81" s="79" t="s">
        <v>139</v>
      </c>
      <c r="B81" s="84">
        <f>CONVERT(D81, "g", "lbm")</f>
        <v>0</v>
      </c>
      <c r="C81" s="83" t="s">
        <v>118</v>
      </c>
      <c r="D81" s="85">
        <f>E13*B80</f>
        <v>0</v>
      </c>
      <c r="E81" s="83" t="s">
        <v>117</v>
      </c>
      <c r="F81" s="86"/>
    </row>
    <row r="82" spans="1:6" x14ac:dyDescent="0.25">
      <c r="A82" s="87" t="s">
        <v>144</v>
      </c>
      <c r="B82" s="88"/>
      <c r="C82" s="89"/>
      <c r="D82" s="89"/>
      <c r="E82" s="75"/>
      <c r="F82" s="90"/>
    </row>
  </sheetData>
  <sheetProtection algorithmName="SHA-512" hashValue="8U1q/yFLykcL9bdVwWE+4ZvHFwyIBAkGGj8EbII2jKcJrEPoEly4u7OKgUJJtJUYO5KGnInzctmzIh5nSTggFA==" saltValue="rvdtp7np7S7aYwFNslgnpA==" spinCount="100000" sheet="1" selectLockedCells="1"/>
  <mergeCells count="1">
    <mergeCell ref="A5:A9"/>
  </mergeCells>
  <pageMargins left="0.25" right="0.25" top="0.75" bottom="0.75" header="0.3" footer="0.3"/>
  <pageSetup scale="83" fitToHeight="0" orientation="landscape" horizontalDpi="1200" verticalDpi="1200" r:id="rId1"/>
  <headerFooter>
    <oddHeader>&amp;A</oddHeader>
    <oddFooter>&amp;F</oddFooter>
  </headerFooter>
  <rowBreaks count="2" manualBreakCount="2">
    <brk id="28" max="8" man="1"/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FDF2-F79F-4C08-BB9C-CA5914097D68}">
  <sheetPr>
    <pageSetUpPr fitToPage="1"/>
  </sheetPr>
  <dimension ref="A1:T39"/>
  <sheetViews>
    <sheetView zoomScale="150" zoomScaleNormal="150" workbookViewId="0">
      <selection activeCell="C46" sqref="C46"/>
    </sheetView>
  </sheetViews>
  <sheetFormatPr defaultRowHeight="15" x14ac:dyDescent="0.25"/>
  <cols>
    <col min="2" max="2" width="6.140625" customWidth="1"/>
    <col min="3" max="3" width="43.7109375" customWidth="1"/>
    <col min="10" max="10" width="10.85546875" customWidth="1"/>
  </cols>
  <sheetData>
    <row r="1" spans="1:20" x14ac:dyDescent="0.25">
      <c r="A1" t="s">
        <v>35</v>
      </c>
      <c r="B1" t="s">
        <v>94</v>
      </c>
    </row>
    <row r="2" spans="1:20" x14ac:dyDescent="0.25">
      <c r="B2" t="s">
        <v>170</v>
      </c>
    </row>
    <row r="3" spans="1:20" x14ac:dyDescent="0.25">
      <c r="B3" t="s">
        <v>171</v>
      </c>
    </row>
    <row r="5" spans="1:20" x14ac:dyDescent="0.25">
      <c r="A5" t="s">
        <v>36</v>
      </c>
    </row>
    <row r="6" spans="1:20" x14ac:dyDescent="0.25">
      <c r="B6" s="2"/>
      <c r="C6" t="s">
        <v>38</v>
      </c>
    </row>
    <row r="7" spans="1:20" x14ac:dyDescent="0.25">
      <c r="B7" s="1"/>
      <c r="C7" t="s">
        <v>37</v>
      </c>
    </row>
    <row r="8" spans="1:20" ht="30" customHeight="1" x14ac:dyDescent="0.25">
      <c r="B8" s="162" t="s">
        <v>254</v>
      </c>
      <c r="C8" s="156"/>
      <c r="D8" s="156"/>
      <c r="E8" s="156"/>
      <c r="F8" s="156"/>
      <c r="G8" s="156"/>
      <c r="H8" s="156"/>
      <c r="I8" s="156"/>
      <c r="J8" s="156"/>
      <c r="K8" s="146"/>
      <c r="L8" s="146"/>
      <c r="M8" s="146"/>
      <c r="N8" s="146"/>
      <c r="O8" s="146"/>
      <c r="P8" s="146"/>
      <c r="Q8" s="146"/>
      <c r="R8" s="146"/>
      <c r="S8" s="146"/>
      <c r="T8" s="146"/>
    </row>
    <row r="9" spans="1:20" ht="14.25" customHeight="1" x14ac:dyDescent="0.25">
      <c r="B9" s="162"/>
      <c r="C9" s="156" t="s">
        <v>230</v>
      </c>
      <c r="D9" s="156"/>
      <c r="E9" s="156"/>
      <c r="F9" s="156"/>
      <c r="G9" s="156"/>
      <c r="H9" s="156"/>
      <c r="I9" s="156"/>
      <c r="J9" s="156"/>
      <c r="K9" s="146"/>
      <c r="L9" s="146"/>
      <c r="M9" s="146"/>
      <c r="N9" s="146"/>
      <c r="O9" s="146"/>
      <c r="P9" s="146"/>
      <c r="Q9" s="146"/>
      <c r="R9" s="146"/>
      <c r="S9" s="146"/>
      <c r="T9" s="146"/>
    </row>
    <row r="10" spans="1:20" x14ac:dyDescent="0.25">
      <c r="B10" t="s">
        <v>255</v>
      </c>
    </row>
    <row r="11" spans="1:20" x14ac:dyDescent="0.25">
      <c r="C11" s="12" t="s">
        <v>128</v>
      </c>
    </row>
    <row r="12" spans="1:20" x14ac:dyDescent="0.25">
      <c r="C12" s="12"/>
    </row>
    <row r="13" spans="1:20" x14ac:dyDescent="0.25">
      <c r="A13" t="s">
        <v>176</v>
      </c>
    </row>
    <row r="14" spans="1:20" x14ac:dyDescent="0.25">
      <c r="B14" t="s">
        <v>54</v>
      </c>
      <c r="C14" t="s">
        <v>250</v>
      </c>
    </row>
    <row r="15" spans="1:20" x14ac:dyDescent="0.25">
      <c r="C15" t="s">
        <v>251</v>
      </c>
    </row>
    <row r="16" spans="1:20" x14ac:dyDescent="0.25">
      <c r="B16" t="s">
        <v>56</v>
      </c>
      <c r="C16" t="s">
        <v>248</v>
      </c>
    </row>
    <row r="17" spans="1:17" x14ac:dyDescent="0.25">
      <c r="C17" t="s">
        <v>249</v>
      </c>
    </row>
    <row r="18" spans="1:17" x14ac:dyDescent="0.25">
      <c r="B18" t="s">
        <v>57</v>
      </c>
      <c r="C18" t="s">
        <v>101</v>
      </c>
    </row>
    <row r="19" spans="1:17" x14ac:dyDescent="0.25">
      <c r="B19" t="s">
        <v>58</v>
      </c>
      <c r="C19" t="s">
        <v>252</v>
      </c>
    </row>
    <row r="20" spans="1:17" x14ac:dyDescent="0.25">
      <c r="C20" t="s">
        <v>253</v>
      </c>
    </row>
    <row r="21" spans="1:17" x14ac:dyDescent="0.25">
      <c r="C21" t="s">
        <v>178</v>
      </c>
    </row>
    <row r="22" spans="1:17" ht="45.75" customHeight="1" x14ac:dyDescent="0.25">
      <c r="B22" s="122" t="s">
        <v>59</v>
      </c>
      <c r="C22" s="157" t="s">
        <v>202</v>
      </c>
      <c r="D22" s="157"/>
      <c r="E22" s="157"/>
      <c r="F22" s="157"/>
      <c r="G22" s="157"/>
      <c r="H22" s="157"/>
      <c r="I22" s="157"/>
      <c r="J22" s="157"/>
      <c r="K22" s="147"/>
      <c r="L22" s="147"/>
      <c r="M22" s="147"/>
      <c r="N22" s="147"/>
      <c r="O22" s="147"/>
      <c r="P22" s="147"/>
      <c r="Q22" s="147"/>
    </row>
    <row r="23" spans="1:17" x14ac:dyDescent="0.25">
      <c r="B23" t="s">
        <v>60</v>
      </c>
      <c r="C23" t="s">
        <v>100</v>
      </c>
    </row>
    <row r="24" spans="1:17" ht="26.25" customHeight="1" x14ac:dyDescent="0.25">
      <c r="B24" t="s">
        <v>62</v>
      </c>
      <c r="C24" s="157" t="s">
        <v>99</v>
      </c>
      <c r="D24" s="157"/>
      <c r="E24" s="157"/>
      <c r="F24" s="157"/>
      <c r="G24" s="157"/>
      <c r="H24" s="157"/>
      <c r="I24" s="157"/>
      <c r="J24" s="157"/>
    </row>
    <row r="25" spans="1:17" ht="44.25" customHeight="1" x14ac:dyDescent="0.25">
      <c r="B25" s="122" t="s">
        <v>72</v>
      </c>
      <c r="C25" s="157" t="s">
        <v>195</v>
      </c>
      <c r="D25" s="157"/>
      <c r="E25" s="157"/>
      <c r="F25" s="157"/>
      <c r="G25" s="157"/>
      <c r="H25" s="157"/>
      <c r="I25" s="157"/>
      <c r="J25" s="157"/>
      <c r="K25" s="147"/>
      <c r="L25" s="147"/>
      <c r="M25" s="147"/>
      <c r="N25" s="147"/>
      <c r="O25" s="147"/>
      <c r="P25" s="147"/>
      <c r="Q25" s="147"/>
    </row>
    <row r="26" spans="1:17" x14ac:dyDescent="0.25">
      <c r="B26" t="s">
        <v>73</v>
      </c>
      <c r="C26" t="s">
        <v>102</v>
      </c>
    </row>
    <row r="27" spans="1:17" x14ac:dyDescent="0.25">
      <c r="B27" t="s">
        <v>74</v>
      </c>
      <c r="C27" t="s">
        <v>256</v>
      </c>
    </row>
    <row r="28" spans="1:17" x14ac:dyDescent="0.25">
      <c r="C28" t="s">
        <v>257</v>
      </c>
    </row>
    <row r="29" spans="1:17" x14ac:dyDescent="0.25">
      <c r="B29" t="s">
        <v>75</v>
      </c>
      <c r="C29" t="s">
        <v>258</v>
      </c>
    </row>
    <row r="30" spans="1:17" x14ac:dyDescent="0.25">
      <c r="C30" t="s">
        <v>257</v>
      </c>
    </row>
    <row r="32" spans="1:17" x14ac:dyDescent="0.25">
      <c r="A32" t="s">
        <v>177</v>
      </c>
      <c r="D32" t="s">
        <v>80</v>
      </c>
    </row>
    <row r="33" spans="2:4" x14ac:dyDescent="0.25">
      <c r="B33" t="s">
        <v>54</v>
      </c>
      <c r="C33" t="s">
        <v>78</v>
      </c>
      <c r="D33" t="s">
        <v>179</v>
      </c>
    </row>
    <row r="34" spans="2:4" x14ac:dyDescent="0.25">
      <c r="B34" t="s">
        <v>56</v>
      </c>
      <c r="C34" t="s">
        <v>79</v>
      </c>
      <c r="D34" t="s">
        <v>180</v>
      </c>
    </row>
    <row r="35" spans="2:4" x14ac:dyDescent="0.25">
      <c r="B35" t="s">
        <v>57</v>
      </c>
      <c r="C35" t="s">
        <v>206</v>
      </c>
      <c r="D35" t="s">
        <v>181</v>
      </c>
    </row>
    <row r="36" spans="2:4" x14ac:dyDescent="0.25">
      <c r="C36" t="s">
        <v>81</v>
      </c>
    </row>
    <row r="37" spans="2:4" x14ac:dyDescent="0.25">
      <c r="B37" t="s">
        <v>58</v>
      </c>
      <c r="C37" t="s">
        <v>92</v>
      </c>
      <c r="D37" t="s">
        <v>182</v>
      </c>
    </row>
    <row r="38" spans="2:4" x14ac:dyDescent="0.25">
      <c r="B38" t="s">
        <v>59</v>
      </c>
      <c r="C38" t="s">
        <v>184</v>
      </c>
      <c r="D38" t="s">
        <v>185</v>
      </c>
    </row>
    <row r="39" spans="2:4" x14ac:dyDescent="0.25">
      <c r="C39" t="s">
        <v>183</v>
      </c>
    </row>
  </sheetData>
  <sheetProtection algorithmName="SHA-512" hashValue="Ij9dwpKAzCb+PwXMewYyTch/Qr6swuMsybORxista0/D157C6Ue7bWv0rx4XVavHAaImNWeDW3wuwZbtQzbEvw==" saltValue="sWdN6wjAVOyzSbdgJ0e6wA==" spinCount="100000" sheet="1" objects="1"/>
  <pageMargins left="0.7" right="0.7" top="0.75" bottom="0.75" header="0.3" footer="0.3"/>
  <pageSetup scale="87" fitToHeight="0" orientation="portrait" horizontalDpi="1200" verticalDpi="1200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workbookViewId="0">
      <selection activeCell="B4" sqref="B4"/>
    </sheetView>
  </sheetViews>
  <sheetFormatPr defaultRowHeight="15" x14ac:dyDescent="0.25"/>
  <cols>
    <col min="1" max="1" width="33.28515625" customWidth="1"/>
    <col min="2" max="2" width="15.5703125" customWidth="1"/>
    <col min="3" max="3" width="11.140625" customWidth="1"/>
    <col min="4" max="4" width="10.5703125" bestFit="1" customWidth="1"/>
    <col min="5" max="5" width="10.5703125" customWidth="1"/>
    <col min="6" max="6" width="5.85546875" customWidth="1"/>
    <col min="7" max="7" width="30.28515625" customWidth="1"/>
    <col min="8" max="8" width="10.5703125" customWidth="1"/>
    <col min="13" max="13" width="29.42578125" customWidth="1"/>
    <col min="14" max="14" width="11" customWidth="1"/>
    <col min="19" max="19" width="32.42578125" customWidth="1"/>
    <col min="20" max="20" width="11.28515625" customWidth="1"/>
  </cols>
  <sheetData>
    <row r="1" spans="1:23" s="12" customFormat="1" ht="15.75" thickBot="1" x14ac:dyDescent="0.3">
      <c r="B1" s="15"/>
      <c r="C1" s="14"/>
    </row>
    <row r="2" spans="1:23" s="12" customFormat="1" x14ac:dyDescent="0.25">
      <c r="A2" s="18" t="s">
        <v>166</v>
      </c>
      <c r="B2" s="33"/>
      <c r="C2" s="3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0"/>
    </row>
    <row r="3" spans="1:23" x14ac:dyDescent="0.25">
      <c r="A3" s="31" t="s">
        <v>63</v>
      </c>
      <c r="B3" s="13"/>
      <c r="C3" s="13"/>
      <c r="D3" s="114" t="s">
        <v>199</v>
      </c>
      <c r="E3" s="114"/>
      <c r="F3" s="35"/>
      <c r="G3" s="121" t="s">
        <v>163</v>
      </c>
      <c r="H3" s="121"/>
      <c r="I3" s="121"/>
      <c r="J3" s="114" t="s">
        <v>199</v>
      </c>
      <c r="K3" s="114"/>
      <c r="L3" s="82"/>
      <c r="M3" s="121" t="s">
        <v>164</v>
      </c>
      <c r="N3" s="121"/>
      <c r="O3" s="121"/>
      <c r="P3" s="114" t="s">
        <v>199</v>
      </c>
      <c r="Q3" s="114"/>
      <c r="R3" s="82"/>
      <c r="S3" s="121" t="s">
        <v>165</v>
      </c>
      <c r="T3" s="121"/>
      <c r="U3" s="121"/>
      <c r="V3" s="114" t="s">
        <v>199</v>
      </c>
      <c r="W3" s="24"/>
    </row>
    <row r="4" spans="1:23" x14ac:dyDescent="0.25">
      <c r="A4" s="21" t="s">
        <v>64</v>
      </c>
      <c r="B4" s="127"/>
      <c r="C4" s="3"/>
      <c r="D4" s="114"/>
      <c r="E4" s="114"/>
      <c r="F4" s="35"/>
      <c r="G4" s="3" t="s">
        <v>9</v>
      </c>
      <c r="H4" s="126"/>
      <c r="I4" s="3"/>
      <c r="J4" s="114"/>
      <c r="K4" s="114"/>
      <c r="L4" s="35"/>
      <c r="M4" s="3" t="s">
        <v>9</v>
      </c>
      <c r="N4" s="126"/>
      <c r="O4" s="91"/>
      <c r="P4" s="114"/>
      <c r="Q4" s="114"/>
      <c r="R4" s="35"/>
      <c r="S4" s="3" t="s">
        <v>9</v>
      </c>
      <c r="T4" s="126"/>
      <c r="U4" s="91"/>
      <c r="V4" s="114"/>
      <c r="W4" s="24"/>
    </row>
    <row r="5" spans="1:23" x14ac:dyDescent="0.25">
      <c r="A5" s="21" t="s">
        <v>65</v>
      </c>
      <c r="B5" s="127"/>
      <c r="C5" s="3" t="s">
        <v>22</v>
      </c>
      <c r="D5" s="120">
        <f>CONVERT(B5,"ft","m")</f>
        <v>0</v>
      </c>
      <c r="E5" s="114" t="s">
        <v>200</v>
      </c>
      <c r="F5" s="35"/>
      <c r="G5" s="3" t="s">
        <v>21</v>
      </c>
      <c r="H5" s="126"/>
      <c r="I5" s="3" t="s">
        <v>22</v>
      </c>
      <c r="J5" s="120">
        <f>CONVERT(H5,"ft","m")</f>
        <v>0</v>
      </c>
      <c r="K5" s="114" t="s">
        <v>200</v>
      </c>
      <c r="L5" s="35"/>
      <c r="M5" s="3" t="s">
        <v>21</v>
      </c>
      <c r="N5" s="126"/>
      <c r="O5" s="3" t="s">
        <v>22</v>
      </c>
      <c r="P5" s="120">
        <f>CONVERT(N5,"ft","m")</f>
        <v>0</v>
      </c>
      <c r="Q5" s="114" t="s">
        <v>200</v>
      </c>
      <c r="R5" s="35"/>
      <c r="S5" s="3" t="s">
        <v>21</v>
      </c>
      <c r="T5" s="126"/>
      <c r="U5" s="3" t="s">
        <v>22</v>
      </c>
      <c r="V5" s="120">
        <f>CONVERT(T5,"ft","m")</f>
        <v>0</v>
      </c>
      <c r="W5" s="24" t="s">
        <v>200</v>
      </c>
    </row>
    <row r="6" spans="1:23" x14ac:dyDescent="0.25">
      <c r="A6" s="21" t="s">
        <v>66</v>
      </c>
      <c r="B6" s="126"/>
      <c r="C6" s="3" t="s">
        <v>130</v>
      </c>
      <c r="D6" s="120">
        <f>CONVERT(B6,"in","cm")</f>
        <v>0</v>
      </c>
      <c r="E6" s="114" t="s">
        <v>201</v>
      </c>
      <c r="F6" s="35"/>
      <c r="G6" s="3" t="s">
        <v>19</v>
      </c>
      <c r="H6" s="126"/>
      <c r="I6" s="3" t="s">
        <v>130</v>
      </c>
      <c r="J6" s="120">
        <f>CONVERT(H6,"in","cm")</f>
        <v>0</v>
      </c>
      <c r="K6" s="114" t="s">
        <v>201</v>
      </c>
      <c r="L6" s="35"/>
      <c r="M6" s="3" t="s">
        <v>19</v>
      </c>
      <c r="N6" s="126"/>
      <c r="O6" s="3" t="s">
        <v>130</v>
      </c>
      <c r="P6" s="120">
        <f>CONVERT(N6,"in","cm")</f>
        <v>0</v>
      </c>
      <c r="Q6" s="114" t="s">
        <v>201</v>
      </c>
      <c r="R6" s="35"/>
      <c r="S6" s="3" t="s">
        <v>19</v>
      </c>
      <c r="T6" s="126"/>
      <c r="U6" s="3" t="s">
        <v>130</v>
      </c>
      <c r="V6" s="120">
        <f>CONVERT(T6,"in","cm")</f>
        <v>0</v>
      </c>
      <c r="W6" s="24" t="s">
        <v>201</v>
      </c>
    </row>
    <row r="7" spans="1:23" x14ac:dyDescent="0.25">
      <c r="A7" s="21" t="s">
        <v>192</v>
      </c>
      <c r="B7" s="148"/>
      <c r="C7" s="3"/>
      <c r="D7" s="16"/>
      <c r="E7" s="12"/>
      <c r="F7" s="35"/>
      <c r="G7" s="113" t="s">
        <v>193</v>
      </c>
      <c r="H7" s="148"/>
      <c r="I7" s="3"/>
      <c r="J7" s="16"/>
      <c r="K7" s="12"/>
      <c r="L7" s="35"/>
      <c r="M7" s="113" t="s">
        <v>193</v>
      </c>
      <c r="N7" s="148"/>
      <c r="O7" s="3"/>
      <c r="P7" s="16"/>
      <c r="Q7" s="12"/>
      <c r="R7" s="35"/>
      <c r="S7" s="113" t="s">
        <v>193</v>
      </c>
      <c r="T7" s="148"/>
      <c r="U7" s="3"/>
      <c r="V7" s="117"/>
      <c r="W7" s="24"/>
    </row>
    <row r="8" spans="1:23" x14ac:dyDescent="0.25">
      <c r="A8" s="21" t="s">
        <v>82</v>
      </c>
      <c r="B8" s="126"/>
      <c r="C8" s="3" t="s">
        <v>18</v>
      </c>
      <c r="D8" s="16"/>
      <c r="E8" s="12"/>
      <c r="F8" s="35"/>
      <c r="G8" s="3" t="s">
        <v>10</v>
      </c>
      <c r="H8" s="126"/>
      <c r="I8" s="3" t="s">
        <v>18</v>
      </c>
      <c r="J8" s="16"/>
      <c r="K8" s="12"/>
      <c r="L8" s="35"/>
      <c r="M8" s="3" t="s">
        <v>10</v>
      </c>
      <c r="N8" s="126"/>
      <c r="O8" s="3" t="s">
        <v>18</v>
      </c>
      <c r="P8" s="16"/>
      <c r="Q8" s="12"/>
      <c r="R8" s="35"/>
      <c r="S8" s="3" t="s">
        <v>10</v>
      </c>
      <c r="T8" s="126"/>
      <c r="U8" s="3" t="s">
        <v>18</v>
      </c>
      <c r="V8" s="117"/>
      <c r="W8" s="24"/>
    </row>
    <row r="9" spans="1:23" x14ac:dyDescent="0.25">
      <c r="A9" s="21" t="s">
        <v>71</v>
      </c>
      <c r="B9" s="148"/>
      <c r="C9" s="3"/>
      <c r="D9" s="16"/>
      <c r="E9" s="12"/>
      <c r="F9" s="35"/>
      <c r="G9" s="3" t="s">
        <v>11</v>
      </c>
      <c r="H9" s="148"/>
      <c r="I9" s="3"/>
      <c r="J9" s="16"/>
      <c r="K9" s="12"/>
      <c r="L9" s="35"/>
      <c r="M9" s="3" t="s">
        <v>11</v>
      </c>
      <c r="N9" s="148"/>
      <c r="O9" s="3"/>
      <c r="P9" s="16"/>
      <c r="Q9" s="12"/>
      <c r="R9" s="35"/>
      <c r="S9" s="3" t="s">
        <v>11</v>
      </c>
      <c r="T9" s="148"/>
      <c r="U9" s="3"/>
      <c r="V9" s="117"/>
      <c r="W9" s="24"/>
    </row>
    <row r="10" spans="1:23" x14ac:dyDescent="0.25">
      <c r="A10" s="21" t="s">
        <v>67</v>
      </c>
      <c r="B10" s="127"/>
      <c r="C10" s="3" t="s">
        <v>16</v>
      </c>
      <c r="D10" s="16"/>
      <c r="E10" s="12"/>
      <c r="F10" s="35"/>
      <c r="G10" s="3" t="s">
        <v>12</v>
      </c>
      <c r="H10" s="127"/>
      <c r="I10" s="3" t="s">
        <v>16</v>
      </c>
      <c r="J10" s="16"/>
      <c r="K10" s="12"/>
      <c r="L10" s="35"/>
      <c r="M10" s="3" t="s">
        <v>12</v>
      </c>
      <c r="N10" s="127"/>
      <c r="O10" s="3" t="s">
        <v>16</v>
      </c>
      <c r="P10" s="16"/>
      <c r="Q10" s="12"/>
      <c r="R10" s="35"/>
      <c r="S10" s="3" t="s">
        <v>12</v>
      </c>
      <c r="T10" s="127"/>
      <c r="U10" s="3" t="s">
        <v>16</v>
      </c>
      <c r="V10" s="117"/>
      <c r="W10" s="24"/>
    </row>
    <row r="11" spans="1:23" x14ac:dyDescent="0.25">
      <c r="A11" s="21" t="s">
        <v>68</v>
      </c>
      <c r="B11" s="127"/>
      <c r="C11" s="3" t="s">
        <v>16</v>
      </c>
      <c r="D11" s="16"/>
      <c r="E11" s="12"/>
      <c r="F11" s="35"/>
      <c r="G11" s="3" t="s">
        <v>13</v>
      </c>
      <c r="H11" s="127"/>
      <c r="I11" s="3" t="s">
        <v>16</v>
      </c>
      <c r="J11" s="16"/>
      <c r="K11" s="12"/>
      <c r="L11" s="35"/>
      <c r="M11" s="3" t="s">
        <v>13</v>
      </c>
      <c r="N11" s="127"/>
      <c r="O11" s="3" t="s">
        <v>16</v>
      </c>
      <c r="P11" s="16"/>
      <c r="Q11" s="12"/>
      <c r="R11" s="35"/>
      <c r="S11" s="3" t="s">
        <v>13</v>
      </c>
      <c r="T11" s="127"/>
      <c r="U11" s="3" t="s">
        <v>16</v>
      </c>
      <c r="V11" s="117"/>
      <c r="W11" s="24"/>
    </row>
    <row r="12" spans="1:23" x14ac:dyDescent="0.25">
      <c r="A12" s="21" t="s">
        <v>194</v>
      </c>
      <c r="B12" s="127"/>
      <c r="C12" s="3" t="s">
        <v>16</v>
      </c>
      <c r="D12" s="16"/>
      <c r="E12" s="12"/>
      <c r="F12" s="35"/>
      <c r="G12" s="3" t="s">
        <v>15</v>
      </c>
      <c r="H12" s="127"/>
      <c r="I12" s="3" t="s">
        <v>16</v>
      </c>
      <c r="J12" s="16"/>
      <c r="K12" s="12"/>
      <c r="L12" s="35"/>
      <c r="M12" s="3" t="s">
        <v>15</v>
      </c>
      <c r="N12" s="127"/>
      <c r="O12" s="3" t="s">
        <v>16</v>
      </c>
      <c r="P12" s="16"/>
      <c r="Q12" s="12"/>
      <c r="R12" s="35"/>
      <c r="S12" s="3" t="s">
        <v>15</v>
      </c>
      <c r="T12" s="127"/>
      <c r="U12" s="3" t="s">
        <v>16</v>
      </c>
      <c r="V12" s="117"/>
      <c r="W12" s="24"/>
    </row>
    <row r="13" spans="1:23" ht="15.75" thickBot="1" x14ac:dyDescent="0.3">
      <c r="A13" s="26" t="s">
        <v>70</v>
      </c>
      <c r="B13" s="129"/>
      <c r="C13" s="27" t="s">
        <v>16</v>
      </c>
      <c r="D13" s="36"/>
      <c r="E13" s="28"/>
      <c r="F13" s="37"/>
      <c r="G13" s="27" t="s">
        <v>14</v>
      </c>
      <c r="H13" s="129"/>
      <c r="I13" s="27" t="s">
        <v>16</v>
      </c>
      <c r="J13" s="36"/>
      <c r="K13" s="28"/>
      <c r="L13" s="37"/>
      <c r="M13" s="27" t="s">
        <v>14</v>
      </c>
      <c r="N13" s="129"/>
      <c r="O13" s="27" t="s">
        <v>16</v>
      </c>
      <c r="P13" s="36"/>
      <c r="Q13" s="28"/>
      <c r="R13" s="37"/>
      <c r="S13" s="27" t="s">
        <v>14</v>
      </c>
      <c r="T13" s="129"/>
      <c r="U13" s="27" t="s">
        <v>16</v>
      </c>
      <c r="V13" s="118"/>
      <c r="W13" s="25"/>
    </row>
    <row r="14" spans="1:23" s="12" customFormat="1" ht="15.75" thickBot="1" x14ac:dyDescent="0.3"/>
    <row r="15" spans="1:23" s="12" customFormat="1" x14ac:dyDescent="0.25">
      <c r="A15" s="18" t="s">
        <v>167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</row>
    <row r="16" spans="1:23" x14ac:dyDescent="0.25">
      <c r="A16" s="31" t="s">
        <v>76</v>
      </c>
      <c r="B16" s="30">
        <f>B8*(1-B7)*CONVERT(B6,"in", "cm" )*10000</f>
        <v>0</v>
      </c>
      <c r="C16" s="13" t="s">
        <v>17</v>
      </c>
      <c r="D16" s="13"/>
      <c r="E16" s="13"/>
      <c r="F16" s="13"/>
      <c r="G16" s="13" t="s">
        <v>20</v>
      </c>
      <c r="H16" s="30">
        <f>H8*(1-H7)*CONVERT(H6,"in", "cm" )*10000</f>
        <v>0</v>
      </c>
      <c r="I16" s="13" t="s">
        <v>17</v>
      </c>
      <c r="J16" s="13"/>
      <c r="K16" s="13"/>
      <c r="L16" s="13"/>
      <c r="M16" s="13" t="s">
        <v>20</v>
      </c>
      <c r="N16" s="30">
        <f>N8*(1-N7)*CONVERT(N6,"in", "cm" )*10000</f>
        <v>0</v>
      </c>
      <c r="O16" s="13" t="s">
        <v>17</v>
      </c>
      <c r="P16" s="13"/>
      <c r="Q16" s="13"/>
      <c r="R16" s="13"/>
      <c r="S16" s="13" t="s">
        <v>20</v>
      </c>
      <c r="T16" s="30">
        <f>T8*(1-T7)*CONVERT(T6,"in", "cm" )*10000</f>
        <v>0</v>
      </c>
      <c r="U16" s="13" t="s">
        <v>17</v>
      </c>
      <c r="V16" s="119"/>
      <c r="W16" s="32"/>
    </row>
    <row r="17" spans="1:28" x14ac:dyDescent="0.25">
      <c r="A17" s="21" t="s">
        <v>191</v>
      </c>
      <c r="B17" s="8">
        <f>B11+B10</f>
        <v>0</v>
      </c>
      <c r="C17" s="3" t="s">
        <v>16</v>
      </c>
      <c r="D17" s="3"/>
      <c r="E17" s="114"/>
      <c r="F17" s="3"/>
      <c r="G17" s="3" t="s">
        <v>23</v>
      </c>
      <c r="H17" s="8">
        <f>H11+H10</f>
        <v>0</v>
      </c>
      <c r="I17" s="3" t="s">
        <v>16</v>
      </c>
      <c r="J17" s="3"/>
      <c r="K17" s="114"/>
      <c r="L17" s="3"/>
      <c r="M17" s="3" t="s">
        <v>23</v>
      </c>
      <c r="N17" s="8">
        <f>N11+N10</f>
        <v>0</v>
      </c>
      <c r="O17" s="3" t="s">
        <v>16</v>
      </c>
      <c r="P17" s="3"/>
      <c r="Q17" s="114"/>
      <c r="R17" s="3"/>
      <c r="S17" s="3" t="s">
        <v>23</v>
      </c>
      <c r="T17" s="8">
        <f>T11+T10</f>
        <v>0</v>
      </c>
      <c r="U17" s="3" t="s">
        <v>16</v>
      </c>
      <c r="V17" s="117"/>
      <c r="W17" s="24"/>
    </row>
    <row r="18" spans="1:28" x14ac:dyDescent="0.25">
      <c r="A18" s="21" t="s">
        <v>208</v>
      </c>
      <c r="B18" s="9">
        <f>IF(B16&gt;0, ROUND(30.2065*B17^-0.6446, 0), 0)</f>
        <v>0</v>
      </c>
      <c r="C18" s="3"/>
      <c r="D18" s="3"/>
      <c r="E18" s="114"/>
      <c r="F18" s="3"/>
      <c r="G18" s="3" t="s">
        <v>207</v>
      </c>
      <c r="H18" s="9">
        <f>IF(H16&gt;0, ROUND(30.2065*H17^-0.6446, 0), 0)</f>
        <v>0</v>
      </c>
      <c r="I18" s="3"/>
      <c r="J18" s="3"/>
      <c r="K18" s="114"/>
      <c r="L18" s="3"/>
      <c r="M18" s="115" t="s">
        <v>207</v>
      </c>
      <c r="N18" s="9">
        <f>IF(N16&gt;0, ROUND(30.2065*N17^-0.6446, 0), 0)</f>
        <v>0</v>
      </c>
      <c r="O18" s="3"/>
      <c r="P18" s="3"/>
      <c r="Q18" s="114"/>
      <c r="R18" s="3"/>
      <c r="S18" s="115" t="s">
        <v>207</v>
      </c>
      <c r="T18" s="9">
        <f>IF(T16&gt;0, ROUND(30.2065*T17^-0.6446, 0), 0)</f>
        <v>0</v>
      </c>
      <c r="U18" s="3"/>
      <c r="V18" s="117"/>
      <c r="W18" s="24"/>
    </row>
    <row r="19" spans="1:28" x14ac:dyDescent="0.25">
      <c r="A19" s="21" t="s">
        <v>77</v>
      </c>
      <c r="B19" s="10">
        <f>B16*B17*B18/1000</f>
        <v>0</v>
      </c>
      <c r="C19" s="3" t="s">
        <v>17</v>
      </c>
      <c r="D19" s="3" t="s">
        <v>204</v>
      </c>
      <c r="E19" s="114"/>
      <c r="F19" s="3"/>
      <c r="G19" s="3" t="s">
        <v>24</v>
      </c>
      <c r="H19" s="10">
        <f>H16*H17*H18/1000</f>
        <v>0</v>
      </c>
      <c r="I19" s="3" t="s">
        <v>17</v>
      </c>
      <c r="J19" s="115" t="s">
        <v>204</v>
      </c>
      <c r="K19" s="114"/>
      <c r="L19" s="3"/>
      <c r="M19" s="3" t="s">
        <v>24</v>
      </c>
      <c r="N19" s="10">
        <f>N16*N17*N18/1000</f>
        <v>0</v>
      </c>
      <c r="O19" s="3" t="s">
        <v>17</v>
      </c>
      <c r="P19" s="115" t="s">
        <v>204</v>
      </c>
      <c r="Q19" s="114"/>
      <c r="R19" s="3"/>
      <c r="S19" s="3" t="s">
        <v>24</v>
      </c>
      <c r="T19" s="10">
        <f>T16*T17*T18/1000</f>
        <v>0</v>
      </c>
      <c r="U19" s="3" t="s">
        <v>17</v>
      </c>
      <c r="V19" s="117"/>
      <c r="W19" s="24" t="s">
        <v>204</v>
      </c>
      <c r="Y19" s="62">
        <f>B19</f>
        <v>0</v>
      </c>
      <c r="Z19" s="62" t="b">
        <f>IF(H19&gt;0, H19, FALSE)</f>
        <v>0</v>
      </c>
      <c r="AA19" s="62" t="b">
        <f>IF(N19&gt;0, N19, FALSE)</f>
        <v>0</v>
      </c>
      <c r="AB19" s="62" t="b">
        <f>IF(T19&gt;0, T19, FALSE)</f>
        <v>0</v>
      </c>
    </row>
    <row r="20" spans="1:28" x14ac:dyDescent="0.25">
      <c r="A20" s="49" t="s">
        <v>87</v>
      </c>
      <c r="B20" s="10">
        <f>AVERAGE(Y19:AB19)</f>
        <v>0</v>
      </c>
      <c r="C20" s="50" t="s">
        <v>17</v>
      </c>
      <c r="D20" s="50" t="s">
        <v>204</v>
      </c>
      <c r="E20" s="114"/>
      <c r="F20" s="50"/>
      <c r="G20" s="50"/>
      <c r="H20" s="61"/>
      <c r="I20" s="50"/>
      <c r="J20" s="50"/>
      <c r="K20" s="114"/>
      <c r="L20" s="50"/>
      <c r="M20" s="50"/>
      <c r="N20" s="61"/>
      <c r="O20" s="50"/>
      <c r="P20" s="50"/>
      <c r="Q20" s="114"/>
      <c r="R20" s="50"/>
      <c r="S20" s="50"/>
      <c r="T20" s="61"/>
      <c r="U20" s="50"/>
      <c r="V20" s="117"/>
      <c r="W20" s="24"/>
    </row>
  </sheetData>
  <sheetProtection algorithmName="SHA-512" hashValue="HvjVXchVGUFpD2i5KM/dTcnJpOOtXPnigqeR7KX21ED/OPe10rblWJWgH5cSp/ZdJrUykH6Ku+fOzc3uIvBH/Q==" saltValue="uRG4RcRnTz/6ZiGvvG8yYg==" spinCount="100000" sheet="1" objects="1" selectLockedCells="1"/>
  <pageMargins left="0.7" right="0.7" top="0.75" bottom="0.75" header="0.3" footer="0.3"/>
  <pageSetup orientation="portrait" horizontalDpi="1200" verticalDpi="1200" r:id="rId1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Read Me-Tab 1</vt:lpstr>
      <vt:lpstr>Tab 1 Main Calculator</vt:lpstr>
      <vt:lpstr>Read Me-Tab 2</vt:lpstr>
      <vt:lpstr>Tab 2 Sediment Testing</vt:lpstr>
      <vt:lpstr>'Read Me-Tab 1'!Print_Area</vt:lpstr>
      <vt:lpstr>'Read Me-Tab 2'!Print_Area</vt:lpstr>
      <vt:lpstr>'Tab 1 Main Calculator'!Print_Area</vt:lpstr>
      <vt:lpstr>'Tab 2 Sediment Testing'!Print_Area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Minser, Amy</dc:creator>
  <cp:lastModifiedBy>Minser, Amy J - DNR</cp:lastModifiedBy>
  <cp:lastPrinted>2026-04-17T16:34:22Z</cp:lastPrinted>
  <dcterms:created xsi:type="dcterms:W3CDTF">2015-06-05T18:17:20Z</dcterms:created>
  <dcterms:modified xsi:type="dcterms:W3CDTF">2026-04-17T16:36:51Z</dcterms:modified>
</cp:coreProperties>
</file>