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hriske\Desktop\Up Down Load\"/>
    </mc:Choice>
  </mc:AlternateContent>
  <xr:revisionPtr revIDLastSave="0" documentId="13_ncr:1_{1C27C460-BB3C-4ECD-B232-F8678A9F51B2}" xr6:coauthVersionLast="47" xr6:coauthVersionMax="47" xr10:uidLastSave="{00000000-0000-0000-0000-000000000000}"/>
  <bookViews>
    <workbookView xWindow="-108" yWindow="-108" windowWidth="21900" windowHeight="13176" activeTab="2" xr2:uid="{09328DD6-59B8-483B-883B-ED8C3E80F621}"/>
  </bookViews>
  <sheets>
    <sheet name="Base Program Funding List" sheetId="3" r:id="rId1"/>
    <sheet name="Lead Service Line projects" sheetId="7" r:id="rId2"/>
    <sheet name="Emerging Contaminants projects" sheetId="6" r:id="rId3"/>
  </sheets>
  <definedNames>
    <definedName name="_xlnm._FilterDatabase" localSheetId="0" hidden="1">'Base Program Funding List'!$A$4:$Z$166</definedName>
    <definedName name="_xlnm._FilterDatabase" localSheetId="2" hidden="1">'Emerging Contaminants projects'!$A$5:$U$15</definedName>
    <definedName name="_xlnm._FilterDatabase" localSheetId="1" hidden="1">'Lead Service Line projects'!$A$5:$V$50</definedName>
    <definedName name="_xlnm.Print_Area" localSheetId="2">'Emerging Contaminants projects'!$A$2:$R$15</definedName>
    <definedName name="_xlnm.Print_Area" localSheetId="1">'Lead Service Line projects'!$A$1:$Q$50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2" i="3" l="1"/>
  <c r="B62" i="3" l="1"/>
  <c r="U7" i="6" l="1"/>
  <c r="U8" i="6"/>
  <c r="U9" i="6"/>
  <c r="U10" i="6"/>
  <c r="U11" i="6"/>
  <c r="U12" i="6"/>
  <c r="U13" i="6"/>
  <c r="U14" i="6"/>
  <c r="U6" i="6"/>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2" i="3"/>
  <c r="Y113" i="3"/>
  <c r="Y114" i="3"/>
  <c r="Y115" i="3"/>
  <c r="Y116" i="3"/>
  <c r="Y117" i="3"/>
  <c r="Y118" i="3"/>
  <c r="Y119" i="3"/>
  <c r="Y120" i="3"/>
  <c r="Y121" i="3"/>
  <c r="Y122" i="3"/>
  <c r="Y123" i="3"/>
  <c r="Y124" i="3"/>
  <c r="Y125" i="3"/>
  <c r="Y126" i="3"/>
  <c r="Y127" i="3"/>
  <c r="Y128" i="3"/>
  <c r="Y129" i="3"/>
  <c r="Y130" i="3"/>
  <c r="Y131" i="3"/>
  <c r="Y132" i="3"/>
  <c r="Y133" i="3"/>
  <c r="Y134" i="3"/>
  <c r="Y135" i="3"/>
  <c r="Y111"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5" i="3"/>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2" i="3"/>
  <c r="Z113" i="3"/>
  <c r="Z114" i="3"/>
  <c r="Z115" i="3"/>
  <c r="Z116" i="3"/>
  <c r="Z117" i="3"/>
  <c r="Z118" i="3"/>
  <c r="Z119" i="3"/>
  <c r="Z120" i="3"/>
  <c r="Z121" i="3"/>
  <c r="Z122" i="3"/>
  <c r="Z123" i="3"/>
  <c r="Z124" i="3"/>
  <c r="Z125" i="3"/>
  <c r="Z126" i="3"/>
  <c r="Z127" i="3"/>
  <c r="Z128" i="3"/>
  <c r="Z129" i="3"/>
  <c r="Z130" i="3"/>
  <c r="Z131" i="3"/>
  <c r="Z132" i="3"/>
  <c r="Z133" i="3"/>
  <c r="Z134" i="3"/>
  <c r="Z135" i="3"/>
  <c r="Z111"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N6" i="3"/>
  <c r="N8" i="3"/>
  <c r="N9" i="3"/>
  <c r="N10" i="3"/>
  <c r="N11" i="3"/>
  <c r="N12" i="3"/>
  <c r="N13" i="3"/>
  <c r="N14" i="3"/>
  <c r="N16" i="3"/>
  <c r="N17" i="3"/>
  <c r="N19" i="3"/>
  <c r="N27" i="3"/>
  <c r="N29" i="3"/>
  <c r="N30" i="3"/>
  <c r="N32" i="3"/>
  <c r="N34" i="3"/>
  <c r="N36" i="3"/>
  <c r="N40" i="3"/>
  <c r="N44" i="3"/>
  <c r="N45" i="3"/>
  <c r="N46" i="3"/>
  <c r="N49" i="3"/>
  <c r="N54" i="3"/>
  <c r="N64" i="3"/>
  <c r="N65" i="3"/>
  <c r="N67" i="3"/>
  <c r="N68" i="3"/>
  <c r="N69" i="3"/>
  <c r="N70" i="3"/>
  <c r="N72" i="3"/>
  <c r="N73" i="3"/>
  <c r="N75" i="3"/>
  <c r="N80" i="3"/>
  <c r="N83" i="3"/>
  <c r="N84" i="3"/>
  <c r="N85" i="3"/>
  <c r="N86" i="3"/>
  <c r="N88" i="3"/>
  <c r="N90" i="3"/>
  <c r="N91" i="3"/>
  <c r="N94" i="3"/>
  <c r="N96" i="3"/>
  <c r="N97" i="3"/>
  <c r="N99" i="3"/>
  <c r="N100" i="3"/>
  <c r="N101" i="3"/>
  <c r="N102" i="3"/>
  <c r="N104" i="3"/>
  <c r="N107" i="3"/>
  <c r="N108" i="3"/>
  <c r="N109" i="3"/>
  <c r="N113" i="3"/>
  <c r="N114" i="3"/>
  <c r="N115" i="3"/>
  <c r="N116" i="3"/>
  <c r="N117" i="3"/>
  <c r="N118" i="3"/>
  <c r="N119" i="3"/>
  <c r="N121" i="3"/>
  <c r="N122" i="3"/>
  <c r="N123" i="3"/>
  <c r="N124" i="3"/>
  <c r="N125" i="3"/>
  <c r="N126" i="3"/>
  <c r="N127" i="3"/>
  <c r="N130" i="3"/>
  <c r="N131" i="3"/>
  <c r="N132" i="3"/>
  <c r="N133" i="3"/>
  <c r="N134" i="3"/>
  <c r="N135" i="3"/>
  <c r="N136" i="3"/>
  <c r="N137" i="3"/>
  <c r="N139" i="3"/>
  <c r="N140" i="3"/>
  <c r="N141" i="3"/>
  <c r="N142" i="3"/>
  <c r="N145" i="3"/>
  <c r="N149" i="3"/>
  <c r="N150" i="3"/>
  <c r="N152" i="3"/>
  <c r="N153" i="3"/>
  <c r="N155" i="3"/>
  <c r="N156" i="3"/>
  <c r="N157" i="3"/>
  <c r="N158" i="3"/>
  <c r="N160" i="3"/>
  <c r="N161" i="3"/>
  <c r="N163" i="3"/>
  <c r="N164" i="3"/>
  <c r="N165" i="3"/>
  <c r="N166" i="3"/>
  <c r="N7" i="3"/>
  <c r="N15" i="3"/>
  <c r="N23" i="3"/>
  <c r="N31" i="3"/>
  <c r="N39" i="3"/>
  <c r="N55" i="3"/>
  <c r="N63" i="3"/>
  <c r="N79" i="3"/>
  <c r="N82" i="3"/>
  <c r="N87" i="3"/>
  <c r="N95" i="3"/>
  <c r="N103" i="3"/>
  <c r="N106" i="3"/>
  <c r="N110" i="3"/>
  <c r="N112" i="3"/>
  <c r="N120" i="3"/>
  <c r="N128" i="3"/>
  <c r="N111" i="3"/>
  <c r="N138" i="3"/>
  <c r="N143" i="3"/>
  <c r="N146" i="3"/>
  <c r="N147" i="3"/>
  <c r="N148" i="3"/>
  <c r="N151" i="3"/>
  <c r="N154" i="3"/>
  <c r="N159" i="3"/>
  <c r="N162" i="3"/>
  <c r="W174" i="3"/>
  <c r="X174" i="3" s="1"/>
  <c r="W173" i="3"/>
  <c r="X173" i="3" s="1"/>
  <c r="X145" i="3" l="1"/>
  <c r="S145" i="3" s="1"/>
  <c r="R145" i="3"/>
  <c r="B145" i="3"/>
  <c r="A145" i="3" s="1"/>
  <c r="X133" i="3"/>
  <c r="S133" i="3" s="1"/>
  <c r="R133" i="3"/>
  <c r="B133" i="3"/>
  <c r="A133" i="3" s="1"/>
  <c r="X8" i="3"/>
  <c r="S8" i="3" s="1"/>
  <c r="R8" i="3"/>
  <c r="B8" i="3"/>
  <c r="Q50" i="7"/>
  <c r="L50" i="7"/>
  <c r="M50" i="7" s="1"/>
  <c r="R48" i="7"/>
  <c r="J48" i="7"/>
  <c r="G48" i="7"/>
  <c r="U47" i="7"/>
  <c r="T47" i="7"/>
  <c r="Q47" i="7"/>
  <c r="N47" i="7"/>
  <c r="L47" i="7"/>
  <c r="M47" i="7" s="1"/>
  <c r="S47" i="7" s="1"/>
  <c r="I47" i="7" s="1"/>
  <c r="U46" i="7"/>
  <c r="T46" i="7"/>
  <c r="N46" i="7"/>
  <c r="L46" i="7"/>
  <c r="M46" i="7" s="1"/>
  <c r="S46" i="7" s="1"/>
  <c r="I46" i="7" s="1"/>
  <c r="U45" i="7"/>
  <c r="T45" i="7"/>
  <c r="N45" i="7"/>
  <c r="Q45" i="7" s="1"/>
  <c r="L45" i="7"/>
  <c r="M45" i="7" s="1"/>
  <c r="T44" i="7"/>
  <c r="N44" i="7"/>
  <c r="U44" i="7" s="1"/>
  <c r="L44" i="7"/>
  <c r="M44" i="7" s="1"/>
  <c r="T43" i="7"/>
  <c r="N43" i="7"/>
  <c r="U43" i="7" s="1"/>
  <c r="L43" i="7"/>
  <c r="M43" i="7" s="1"/>
  <c r="T42" i="7"/>
  <c r="N42" i="7"/>
  <c r="U42" i="7" s="1"/>
  <c r="L42" i="7"/>
  <c r="M42" i="7" s="1"/>
  <c r="S42" i="7" s="1"/>
  <c r="I42" i="7" s="1"/>
  <c r="T41" i="7"/>
  <c r="N41" i="7"/>
  <c r="U41" i="7" s="1"/>
  <c r="M41" i="7"/>
  <c r="S41" i="7" s="1"/>
  <c r="I41" i="7" s="1"/>
  <c r="L41" i="7"/>
  <c r="T40" i="7"/>
  <c r="N40" i="7"/>
  <c r="U40" i="7" s="1"/>
  <c r="M40" i="7"/>
  <c r="S40" i="7" s="1"/>
  <c r="I40" i="7" s="1"/>
  <c r="L40" i="7"/>
  <c r="T39" i="7"/>
  <c r="N39" i="7"/>
  <c r="U39" i="7" s="1"/>
  <c r="M39" i="7"/>
  <c r="S39" i="7" s="1"/>
  <c r="I39" i="7" s="1"/>
  <c r="L39" i="7"/>
  <c r="T38" i="7"/>
  <c r="N38" i="7"/>
  <c r="U38" i="7" s="1"/>
  <c r="M38" i="7"/>
  <c r="S38" i="7" s="1"/>
  <c r="I38" i="7" s="1"/>
  <c r="L38" i="7"/>
  <c r="T37" i="7"/>
  <c r="N37" i="7"/>
  <c r="U37" i="7" s="1"/>
  <c r="M37" i="7"/>
  <c r="S37" i="7" s="1"/>
  <c r="I37" i="7" s="1"/>
  <c r="L37" i="7"/>
  <c r="T36" i="7"/>
  <c r="N36" i="7"/>
  <c r="U36" i="7" s="1"/>
  <c r="M36" i="7"/>
  <c r="S36" i="7" s="1"/>
  <c r="I36" i="7" s="1"/>
  <c r="L36" i="7"/>
  <c r="T35" i="7"/>
  <c r="N35" i="7"/>
  <c r="U35" i="7" s="1"/>
  <c r="M35" i="7"/>
  <c r="S35" i="7" s="1"/>
  <c r="I35" i="7" s="1"/>
  <c r="L35" i="7"/>
  <c r="T34" i="7"/>
  <c r="N34" i="7"/>
  <c r="U34" i="7" s="1"/>
  <c r="M34" i="7"/>
  <c r="S34" i="7" s="1"/>
  <c r="I34" i="7" s="1"/>
  <c r="L34" i="7"/>
  <c r="T33" i="7"/>
  <c r="N33" i="7"/>
  <c r="U33" i="7" s="1"/>
  <c r="M33" i="7"/>
  <c r="S33" i="7" s="1"/>
  <c r="I33" i="7" s="1"/>
  <c r="L33" i="7"/>
  <c r="T32" i="7"/>
  <c r="N32" i="7"/>
  <c r="U32" i="7" s="1"/>
  <c r="M32" i="7"/>
  <c r="S32" i="7" s="1"/>
  <c r="I32" i="7" s="1"/>
  <c r="L32" i="7"/>
  <c r="T31" i="7"/>
  <c r="N31" i="7"/>
  <c r="U31" i="7" s="1"/>
  <c r="M31" i="7"/>
  <c r="S31" i="7" s="1"/>
  <c r="I31" i="7" s="1"/>
  <c r="L31" i="7"/>
  <c r="T30" i="7"/>
  <c r="N30" i="7"/>
  <c r="U30" i="7" s="1"/>
  <c r="M30" i="7"/>
  <c r="S30" i="7" s="1"/>
  <c r="I30" i="7" s="1"/>
  <c r="L30" i="7"/>
  <c r="T29" i="7"/>
  <c r="N29" i="7"/>
  <c r="U29" i="7" s="1"/>
  <c r="M29" i="7"/>
  <c r="S29" i="7" s="1"/>
  <c r="I29" i="7" s="1"/>
  <c r="L29" i="7"/>
  <c r="T28" i="7"/>
  <c r="N28" i="7"/>
  <c r="U28" i="7" s="1"/>
  <c r="M28" i="7"/>
  <c r="S28" i="7" s="1"/>
  <c r="I28" i="7" s="1"/>
  <c r="L28" i="7"/>
  <c r="T27" i="7"/>
  <c r="N27" i="7"/>
  <c r="U27" i="7" s="1"/>
  <c r="M27" i="7"/>
  <c r="S27" i="7" s="1"/>
  <c r="I27" i="7" s="1"/>
  <c r="L27" i="7"/>
  <c r="T26" i="7"/>
  <c r="N26" i="7"/>
  <c r="U26" i="7" s="1"/>
  <c r="M26" i="7"/>
  <c r="S26" i="7" s="1"/>
  <c r="I26" i="7" s="1"/>
  <c r="L26" i="7"/>
  <c r="T25" i="7"/>
  <c r="N25" i="7"/>
  <c r="U25" i="7" s="1"/>
  <c r="M25" i="7"/>
  <c r="S25" i="7" s="1"/>
  <c r="I25" i="7" s="1"/>
  <c r="L25" i="7"/>
  <c r="T24" i="7"/>
  <c r="N24" i="7"/>
  <c r="U24" i="7" s="1"/>
  <c r="M24" i="7"/>
  <c r="S24" i="7" s="1"/>
  <c r="I24" i="7" s="1"/>
  <c r="L24" i="7"/>
  <c r="T23" i="7"/>
  <c r="N23" i="7"/>
  <c r="U23" i="7" s="1"/>
  <c r="M23" i="7"/>
  <c r="S23" i="7" s="1"/>
  <c r="I23" i="7" s="1"/>
  <c r="L23" i="7"/>
  <c r="T22" i="7"/>
  <c r="N22" i="7"/>
  <c r="U22" i="7" s="1"/>
  <c r="M22" i="7"/>
  <c r="S22" i="7" s="1"/>
  <c r="I22" i="7" s="1"/>
  <c r="L22" i="7"/>
  <c r="T21" i="7"/>
  <c r="N21" i="7"/>
  <c r="U21" i="7" s="1"/>
  <c r="M21" i="7"/>
  <c r="S21" i="7" s="1"/>
  <c r="I21" i="7" s="1"/>
  <c r="L21" i="7"/>
  <c r="T20" i="7"/>
  <c r="N20" i="7"/>
  <c r="U20" i="7" s="1"/>
  <c r="M20" i="7"/>
  <c r="S20" i="7" s="1"/>
  <c r="I20" i="7" s="1"/>
  <c r="L20" i="7"/>
  <c r="T19" i="7"/>
  <c r="N19" i="7"/>
  <c r="U19" i="7" s="1"/>
  <c r="M19" i="7"/>
  <c r="L19" i="7"/>
  <c r="T18" i="7"/>
  <c r="N18" i="7"/>
  <c r="U18" i="7" s="1"/>
  <c r="L18" i="7"/>
  <c r="M18" i="7" s="1"/>
  <c r="S18" i="7" s="1"/>
  <c r="I18" i="7" s="1"/>
  <c r="U17" i="7"/>
  <c r="T17" i="7"/>
  <c r="Q17" i="7"/>
  <c r="N17" i="7"/>
  <c r="L17" i="7"/>
  <c r="M17" i="7" s="1"/>
  <c r="S17" i="7" s="1"/>
  <c r="I17" i="7" s="1"/>
  <c r="U16" i="7"/>
  <c r="T16" i="7"/>
  <c r="Q16" i="7"/>
  <c r="S16" i="7" s="1"/>
  <c r="I16" i="7" s="1"/>
  <c r="N16" i="7"/>
  <c r="M16" i="7"/>
  <c r="L16" i="7"/>
  <c r="U15" i="7"/>
  <c r="T15" i="7"/>
  <c r="N15" i="7"/>
  <c r="Q15" i="7" s="1"/>
  <c r="L15" i="7"/>
  <c r="M15" i="7" s="1"/>
  <c r="S15" i="7" s="1"/>
  <c r="I15" i="7" s="1"/>
  <c r="U14" i="7"/>
  <c r="Q14" i="7"/>
  <c r="N14" i="7"/>
  <c r="T14" i="7" s="1"/>
  <c r="L14" i="7"/>
  <c r="M14" i="7" s="1"/>
  <c r="U13" i="7"/>
  <c r="T13" i="7"/>
  <c r="N13" i="7"/>
  <c r="Q13" i="7" s="1"/>
  <c r="L13" i="7"/>
  <c r="M13" i="7" s="1"/>
  <c r="N12" i="7"/>
  <c r="U12" i="7" s="1"/>
  <c r="L12" i="7"/>
  <c r="M12" i="7" s="1"/>
  <c r="T11" i="7"/>
  <c r="N11" i="7"/>
  <c r="U11" i="7" s="1"/>
  <c r="L11" i="7"/>
  <c r="M11" i="7" s="1"/>
  <c r="T10" i="7"/>
  <c r="N10" i="7"/>
  <c r="Q10" i="7" s="1"/>
  <c r="M10" i="7"/>
  <c r="L10" i="7"/>
  <c r="N9" i="7"/>
  <c r="U9" i="7" s="1"/>
  <c r="L9" i="7"/>
  <c r="M9" i="7" s="1"/>
  <c r="U8" i="7"/>
  <c r="T8" i="7"/>
  <c r="N8" i="7"/>
  <c r="Q8" i="7" s="1"/>
  <c r="L8" i="7"/>
  <c r="M8" i="7" s="1"/>
  <c r="S8" i="7" s="1"/>
  <c r="I8" i="7" s="1"/>
  <c r="N7" i="7"/>
  <c r="Q7" i="7" s="1"/>
  <c r="L7" i="7"/>
  <c r="M7" i="7" s="1"/>
  <c r="T6" i="7"/>
  <c r="N6" i="7"/>
  <c r="L6" i="7"/>
  <c r="M6" i="7" s="1"/>
  <c r="U7" i="7" l="1"/>
  <c r="T7" i="7"/>
  <c r="S10" i="7"/>
  <c r="I10" i="7" s="1"/>
  <c r="S14" i="7"/>
  <c r="I14" i="7" s="1"/>
  <c r="N48" i="7"/>
  <c r="Q6" i="7"/>
  <c r="Q9" i="7"/>
  <c r="S9" i="7" s="1"/>
  <c r="I9" i="7" s="1"/>
  <c r="T9" i="7"/>
  <c r="T48" i="7" s="1"/>
  <c r="U6" i="7"/>
  <c r="S45" i="7"/>
  <c r="I45" i="7" s="1"/>
  <c r="S7" i="7"/>
  <c r="I7" i="7" s="1"/>
  <c r="S13" i="7"/>
  <c r="I13" i="7" s="1"/>
  <c r="S11" i="7"/>
  <c r="I11" i="7" s="1"/>
  <c r="M48" i="7"/>
  <c r="S6" i="7"/>
  <c r="Q19" i="7"/>
  <c r="S19" i="7" s="1"/>
  <c r="I19" i="7" s="1"/>
  <c r="Q11" i="7"/>
  <c r="Q43" i="7"/>
  <c r="S43" i="7" s="1"/>
  <c r="I43" i="7" s="1"/>
  <c r="Q12" i="7"/>
  <c r="Q44" i="7"/>
  <c r="S44" i="7" s="1"/>
  <c r="I44" i="7" s="1"/>
  <c r="U10" i="7"/>
  <c r="T12" i="7"/>
  <c r="Q48" i="7" l="1"/>
  <c r="S12" i="7"/>
  <c r="I12" i="7" s="1"/>
  <c r="I6" i="7"/>
  <c r="S48" i="7"/>
  <c r="I48" i="7" l="1"/>
  <c r="S15" i="6" l="1"/>
  <c r="M15" i="6"/>
  <c r="R14" i="6"/>
  <c r="T14" i="6" s="1"/>
  <c r="O14" i="6" s="1"/>
  <c r="N14" i="6"/>
  <c r="B14" i="6"/>
  <c r="A14" i="6"/>
  <c r="T13" i="6"/>
  <c r="O13" i="6" s="1"/>
  <c r="N13" i="6"/>
  <c r="B13" i="6"/>
  <c r="A13" i="6"/>
  <c r="N12" i="6"/>
  <c r="T12" i="6"/>
  <c r="O12" i="6" s="1"/>
  <c r="R12" i="6"/>
  <c r="B12" i="6"/>
  <c r="A12" i="6" s="1"/>
  <c r="N11" i="6"/>
  <c r="T11" i="6"/>
  <c r="O11" i="6"/>
  <c r="B11" i="6"/>
  <c r="A11" i="6" s="1"/>
  <c r="R10" i="6"/>
  <c r="T10" i="6" s="1"/>
  <c r="O10" i="6" s="1"/>
  <c r="N10" i="6"/>
  <c r="B10" i="6"/>
  <c r="A10" i="6" s="1"/>
  <c r="T9" i="6"/>
  <c r="O9" i="6" s="1"/>
  <c r="N9" i="6"/>
  <c r="B9" i="6"/>
  <c r="A9" i="6"/>
  <c r="N8" i="6"/>
  <c r="T8" i="6"/>
  <c r="O8" i="6" s="1"/>
  <c r="B8" i="6"/>
  <c r="A8" i="6"/>
  <c r="N7" i="6"/>
  <c r="T7" i="6"/>
  <c r="O7" i="6" s="1"/>
  <c r="B7" i="6"/>
  <c r="A7" i="6"/>
  <c r="R6" i="6"/>
  <c r="T6" i="6" s="1"/>
  <c r="N6" i="6"/>
  <c r="B6" i="6"/>
  <c r="A6" i="6" s="1"/>
  <c r="T15" i="6" l="1"/>
  <c r="O6" i="6"/>
  <c r="O15" i="6" s="1"/>
  <c r="R15" i="6"/>
  <c r="O175" i="3" l="1"/>
  <c r="R172" i="3"/>
  <c r="W172" i="3" s="1"/>
  <c r="X172" i="3" s="1"/>
  <c r="S172" i="3" s="1"/>
  <c r="P168" i="3" l="1"/>
  <c r="P175" i="3" s="1"/>
  <c r="Q168" i="3"/>
  <c r="Q175" i="3" s="1"/>
  <c r="V168" i="3"/>
  <c r="O168" i="3"/>
  <c r="X16" i="3"/>
  <c r="S16" i="3" s="1"/>
  <c r="X15" i="3"/>
  <c r="S15" i="3" s="1"/>
  <c r="X17" i="3"/>
  <c r="S17" i="3" s="1"/>
  <c r="X23" i="3"/>
  <c r="S23" i="3" s="1"/>
  <c r="X24" i="3"/>
  <c r="S24" i="3" s="1"/>
  <c r="X25" i="3"/>
  <c r="S25" i="3" s="1"/>
  <c r="X35" i="3"/>
  <c r="S35" i="3" s="1"/>
  <c r="X40" i="3"/>
  <c r="S40" i="3" s="1"/>
  <c r="X55" i="3"/>
  <c r="S55" i="3" s="1"/>
  <c r="X56" i="3"/>
  <c r="S56" i="3" s="1"/>
  <c r="X70" i="3"/>
  <c r="S70" i="3" s="1"/>
  <c r="X75" i="3"/>
  <c r="S75" i="3" s="1"/>
  <c r="X86" i="3"/>
  <c r="X87" i="3"/>
  <c r="S87" i="3" s="1"/>
  <c r="X88" i="3"/>
  <c r="X89" i="3"/>
  <c r="X91" i="3"/>
  <c r="S91" i="3" s="1"/>
  <c r="X90" i="3"/>
  <c r="X92" i="3"/>
  <c r="X93" i="3"/>
  <c r="X95" i="3"/>
  <c r="S95" i="3" s="1"/>
  <c r="X96" i="3"/>
  <c r="X97" i="3"/>
  <c r="X94" i="3"/>
  <c r="X98" i="3"/>
  <c r="X99" i="3"/>
  <c r="X101" i="3"/>
  <c r="X103" i="3"/>
  <c r="X102" i="3"/>
  <c r="X104" i="3"/>
  <c r="X105" i="3"/>
  <c r="X106" i="3"/>
  <c r="X107" i="3"/>
  <c r="X108" i="3"/>
  <c r="X109" i="3"/>
  <c r="X110" i="3"/>
  <c r="X112" i="3"/>
  <c r="X113" i="3"/>
  <c r="X115" i="3"/>
  <c r="X114" i="3"/>
  <c r="X116" i="3"/>
  <c r="X100" i="3"/>
  <c r="X117" i="3"/>
  <c r="X118" i="3"/>
  <c r="X119" i="3"/>
  <c r="X120" i="3"/>
  <c r="X121" i="3"/>
  <c r="X123" i="3"/>
  <c r="X122" i="3"/>
  <c r="X124" i="3"/>
  <c r="X125" i="3"/>
  <c r="X127" i="3"/>
  <c r="X128" i="3"/>
  <c r="X129" i="3"/>
  <c r="X130" i="3"/>
  <c r="X132" i="3"/>
  <c r="X131" i="3"/>
  <c r="S131" i="3" s="1"/>
  <c r="X135" i="3"/>
  <c r="X134" i="3"/>
  <c r="X111" i="3"/>
  <c r="X136" i="3"/>
  <c r="X137" i="3"/>
  <c r="X138" i="3"/>
  <c r="X139" i="3"/>
  <c r="X140" i="3"/>
  <c r="X143" i="3"/>
  <c r="X142" i="3"/>
  <c r="X126" i="3"/>
  <c r="X141" i="3"/>
  <c r="X144" i="3"/>
  <c r="X146" i="3"/>
  <c r="X147" i="3"/>
  <c r="S147" i="3" s="1"/>
  <c r="X148" i="3"/>
  <c r="X149" i="3"/>
  <c r="X150" i="3"/>
  <c r="X156" i="3"/>
  <c r="X151" i="3"/>
  <c r="X152" i="3"/>
  <c r="X153" i="3"/>
  <c r="S153" i="3" s="1"/>
  <c r="X154" i="3"/>
  <c r="X19" i="3"/>
  <c r="X155" i="3"/>
  <c r="X157" i="3"/>
  <c r="X158" i="3"/>
  <c r="X159" i="3"/>
  <c r="X160" i="3"/>
  <c r="X161" i="3"/>
  <c r="X162" i="3"/>
  <c r="X164" i="3"/>
  <c r="X163" i="3"/>
  <c r="X165" i="3"/>
  <c r="X166" i="3"/>
  <c r="Z168" i="3" l="1"/>
  <c r="R18" i="3"/>
  <c r="Z5" i="3"/>
  <c r="R37" i="3" l="1"/>
  <c r="R11" i="3" l="1"/>
  <c r="R7" i="3"/>
  <c r="R130" i="3"/>
  <c r="R47" i="3"/>
  <c r="R38" i="3"/>
  <c r="R163" i="3"/>
  <c r="R70" i="3"/>
  <c r="R23" i="3"/>
  <c r="R77" i="3"/>
  <c r="R121" i="3"/>
  <c r="R122" i="3"/>
  <c r="R90" i="3"/>
  <c r="R159" i="3"/>
  <c r="R17" i="3"/>
  <c r="R60" i="3"/>
  <c r="R54" i="3"/>
  <c r="R63" i="3"/>
  <c r="R139" i="3"/>
  <c r="R148" i="3"/>
  <c r="R78" i="3"/>
  <c r="R33" i="3"/>
  <c r="R154" i="3"/>
  <c r="R19" i="3"/>
  <c r="R155" i="3"/>
  <c r="R156" i="3"/>
  <c r="R107" i="3"/>
  <c r="R134" i="3"/>
  <c r="R108" i="3"/>
  <c r="R30" i="3"/>
  <c r="R65" i="3"/>
  <c r="R152" i="3"/>
  <c r="R105" i="3"/>
  <c r="R40" i="3"/>
  <c r="R42" i="3"/>
  <c r="R106" i="3"/>
  <c r="R93" i="3"/>
  <c r="R135" i="3"/>
  <c r="R144" i="3"/>
  <c r="R146" i="3"/>
  <c r="R36" i="3"/>
  <c r="R127" i="3"/>
  <c r="R150" i="3"/>
  <c r="W37" i="3"/>
  <c r="R125" i="3"/>
  <c r="R141" i="3"/>
  <c r="R45" i="3"/>
  <c r="R137" i="3"/>
  <c r="R62" i="3"/>
  <c r="R94" i="3"/>
  <c r="R41" i="3"/>
  <c r="R79" i="3"/>
  <c r="R99" i="3"/>
  <c r="R84" i="3"/>
  <c r="R85" i="3"/>
  <c r="R27" i="3"/>
  <c r="R114" i="3"/>
  <c r="R129" i="3"/>
  <c r="R113" i="3"/>
  <c r="R86" i="3"/>
  <c r="R59" i="3"/>
  <c r="R102" i="3"/>
  <c r="R58" i="3"/>
  <c r="R28" i="3"/>
  <c r="R136" i="3"/>
  <c r="R49" i="3"/>
  <c r="R131" i="3"/>
  <c r="R117" i="3"/>
  <c r="R98" i="3"/>
  <c r="R104" i="3"/>
  <c r="R83" i="3"/>
  <c r="R143" i="3"/>
  <c r="R12" i="3"/>
  <c r="R149" i="3"/>
  <c r="R142" i="3"/>
  <c r="R103" i="3"/>
  <c r="R126" i="3"/>
  <c r="R21" i="3"/>
  <c r="R22" i="3"/>
  <c r="R20" i="3"/>
  <c r="R109" i="3"/>
  <c r="R157" i="3"/>
  <c r="R161" i="3"/>
  <c r="R165" i="3"/>
  <c r="R82" i="3"/>
  <c r="R32" i="3"/>
  <c r="R115" i="3"/>
  <c r="R24" i="3"/>
  <c r="R75" i="3"/>
  <c r="R25" i="3"/>
  <c r="R128" i="3"/>
  <c r="R124" i="3"/>
  <c r="R67" i="3"/>
  <c r="R34" i="3"/>
  <c r="R66" i="3"/>
  <c r="R166" i="3"/>
  <c r="R116" i="3"/>
  <c r="R100" i="3"/>
  <c r="R162" i="3"/>
  <c r="R57" i="3"/>
  <c r="R112" i="3"/>
  <c r="R118" i="3"/>
  <c r="R92" i="3"/>
  <c r="R132" i="3"/>
  <c r="R74" i="3"/>
  <c r="R151" i="3"/>
  <c r="R50" i="3"/>
  <c r="R64" i="3"/>
  <c r="R160" i="3"/>
  <c r="R71" i="3"/>
  <c r="R171" i="3"/>
  <c r="R123" i="3"/>
  <c r="R55" i="3"/>
  <c r="R26" i="3"/>
  <c r="R95" i="3"/>
  <c r="R91" i="3"/>
  <c r="R138" i="3"/>
  <c r="R69" i="3"/>
  <c r="R31" i="3"/>
  <c r="R5" i="3"/>
  <c r="R6" i="3"/>
  <c r="R120" i="3"/>
  <c r="R9" i="3"/>
  <c r="R14" i="3"/>
  <c r="R76" i="3"/>
  <c r="R68" i="3"/>
  <c r="R43" i="3"/>
  <c r="R53" i="3"/>
  <c r="R52" i="3"/>
  <c r="R29" i="3"/>
  <c r="R46" i="3"/>
  <c r="W46" i="3" s="1"/>
  <c r="R35" i="3"/>
  <c r="R140" i="3"/>
  <c r="R158" i="3"/>
  <c r="R111" i="3"/>
  <c r="R61" i="3"/>
  <c r="R110" i="3"/>
  <c r="R96" i="3"/>
  <c r="R80" i="3"/>
  <c r="R97" i="3"/>
  <c r="R48" i="3"/>
  <c r="R39" i="3"/>
  <c r="R51" i="3"/>
  <c r="R44" i="3"/>
  <c r="R81" i="3"/>
  <c r="R56" i="3"/>
  <c r="R153" i="3"/>
  <c r="R87" i="3"/>
  <c r="R16" i="3"/>
  <c r="R15" i="3"/>
  <c r="R147" i="3"/>
  <c r="R101" i="3"/>
  <c r="R88" i="3"/>
  <c r="R10" i="3"/>
  <c r="R89" i="3"/>
  <c r="R13" i="3"/>
  <c r="R72" i="3"/>
  <c r="R164" i="3"/>
  <c r="R119" i="3"/>
  <c r="R73" i="3"/>
  <c r="R168" i="3" l="1"/>
  <c r="R175" i="3" s="1"/>
  <c r="X46" i="3"/>
  <c r="S46" i="3" s="1"/>
  <c r="X37" i="3"/>
  <c r="S37" i="3" s="1"/>
  <c r="W80" i="3"/>
  <c r="S119" i="3"/>
  <c r="S122" i="3"/>
  <c r="S152" i="3"/>
  <c r="W20" i="3"/>
  <c r="S129" i="3"/>
  <c r="W44" i="3"/>
  <c r="W10" i="3"/>
  <c r="W81" i="3"/>
  <c r="W14" i="3"/>
  <c r="S123" i="3"/>
  <c r="S142" i="3"/>
  <c r="W77" i="3"/>
  <c r="W33" i="3"/>
  <c r="S127" i="3"/>
  <c r="W65" i="3"/>
  <c r="W22" i="3"/>
  <c r="W74" i="3"/>
  <c r="S128" i="3"/>
  <c r="S101" i="3"/>
  <c r="S110" i="3"/>
  <c r="W6" i="3"/>
  <c r="W171" i="3"/>
  <c r="S149" i="3"/>
  <c r="S150" i="3"/>
  <c r="S108" i="3"/>
  <c r="S154" i="3"/>
  <c r="S136" i="3"/>
  <c r="W85" i="3"/>
  <c r="W29" i="3"/>
  <c r="S104" i="3"/>
  <c r="W41" i="3"/>
  <c r="S107" i="3"/>
  <c r="W21" i="3"/>
  <c r="S132" i="3"/>
  <c r="S165" i="3"/>
  <c r="W61" i="3"/>
  <c r="W5" i="3"/>
  <c r="W71" i="3"/>
  <c r="W12" i="3"/>
  <c r="S146" i="3"/>
  <c r="W78" i="3"/>
  <c r="W34" i="3"/>
  <c r="W9" i="3"/>
  <c r="W84" i="3"/>
  <c r="S92" i="3"/>
  <c r="S140" i="3"/>
  <c r="S98" i="3"/>
  <c r="W83" i="3"/>
  <c r="S121" i="3"/>
  <c r="S134" i="3"/>
  <c r="W51" i="3"/>
  <c r="S138" i="3"/>
  <c r="W64" i="3"/>
  <c r="S115" i="3"/>
  <c r="S143" i="3"/>
  <c r="S144" i="3"/>
  <c r="S148" i="3"/>
  <c r="S163" i="3"/>
  <c r="S96" i="3"/>
  <c r="W68" i="3"/>
  <c r="S118" i="3"/>
  <c r="W45" i="3"/>
  <c r="S99" i="3"/>
  <c r="W36" i="3"/>
  <c r="W13" i="3"/>
  <c r="S117" i="3"/>
  <c r="S155" i="3"/>
  <c r="W79" i="3"/>
  <c r="W48" i="3"/>
  <c r="W30" i="3"/>
  <c r="W39" i="3"/>
  <c r="W50" i="3"/>
  <c r="W82" i="3"/>
  <c r="W49" i="3"/>
  <c r="S135" i="3"/>
  <c r="S139" i="3"/>
  <c r="W38" i="3"/>
  <c r="W69" i="3"/>
  <c r="W76" i="3"/>
  <c r="S112" i="3"/>
  <c r="S141" i="3"/>
  <c r="S151" i="3"/>
  <c r="W32" i="3"/>
  <c r="S88" i="3"/>
  <c r="W11" i="3"/>
  <c r="S100" i="3"/>
  <c r="W58" i="3"/>
  <c r="S94" i="3"/>
  <c r="W72" i="3"/>
  <c r="W52" i="3"/>
  <c r="S166" i="3"/>
  <c r="S109" i="3"/>
  <c r="W28" i="3"/>
  <c r="S93" i="3"/>
  <c r="W63" i="3"/>
  <c r="W47" i="3"/>
  <c r="S111" i="3"/>
  <c r="S158" i="3"/>
  <c r="S105" i="3"/>
  <c r="S156" i="3"/>
  <c r="S159" i="3"/>
  <c r="S120" i="3"/>
  <c r="S116" i="3"/>
  <c r="S102" i="3"/>
  <c r="S86" i="3"/>
  <c r="W53" i="3"/>
  <c r="W67" i="3"/>
  <c r="S126" i="3"/>
  <c r="S114" i="3"/>
  <c r="S106" i="3"/>
  <c r="W54" i="3"/>
  <c r="S130" i="3"/>
  <c r="W31" i="3"/>
  <c r="W73" i="3"/>
  <c r="S164" i="3"/>
  <c r="W57" i="3"/>
  <c r="S125" i="3"/>
  <c r="S161" i="3"/>
  <c r="S160" i="3"/>
  <c r="W66" i="3"/>
  <c r="S97" i="3"/>
  <c r="W18" i="3"/>
  <c r="S19" i="3"/>
  <c r="S157" i="3"/>
  <c r="S90" i="3"/>
  <c r="S162" i="3"/>
  <c r="S137" i="3"/>
  <c r="W27" i="3"/>
  <c r="W59" i="3"/>
  <c r="S113" i="3"/>
  <c r="S89" i="3"/>
  <c r="W43" i="3"/>
  <c r="W26" i="3"/>
  <c r="S124" i="3"/>
  <c r="S103" i="3"/>
  <c r="W62" i="3"/>
  <c r="W42" i="3"/>
  <c r="W60" i="3"/>
  <c r="W7" i="3"/>
  <c r="W168" i="3" l="1"/>
  <c r="X82" i="3"/>
  <c r="S82" i="3" s="1"/>
  <c r="X83" i="3"/>
  <c r="S83" i="3" s="1"/>
  <c r="X54" i="3"/>
  <c r="S54" i="3" s="1"/>
  <c r="X76" i="3"/>
  <c r="S76" i="3" s="1"/>
  <c r="X69" i="3"/>
  <c r="S69" i="3" s="1"/>
  <c r="X30" i="3"/>
  <c r="S30" i="3" s="1"/>
  <c r="X45" i="3"/>
  <c r="S45" i="3" s="1"/>
  <c r="X12" i="3"/>
  <c r="S12" i="3" s="1"/>
  <c r="X41" i="3"/>
  <c r="S41" i="3" s="1"/>
  <c r="X22" i="3"/>
  <c r="S22" i="3" s="1"/>
  <c r="X81" i="3"/>
  <c r="S81" i="3" s="1"/>
  <c r="X80" i="3"/>
  <c r="S80" i="3" s="1"/>
  <c r="X59" i="3"/>
  <c r="S59" i="3" s="1"/>
  <c r="X66" i="3"/>
  <c r="S66" i="3" s="1"/>
  <c r="X47" i="3"/>
  <c r="S47" i="3" s="1"/>
  <c r="X36" i="3"/>
  <c r="S36" i="3" s="1"/>
  <c r="X21" i="3"/>
  <c r="S21" i="3" s="1"/>
  <c r="X58" i="3"/>
  <c r="S58" i="3" s="1"/>
  <c r="X14" i="3"/>
  <c r="S14" i="3" s="1"/>
  <c r="X26" i="3"/>
  <c r="S26" i="3" s="1"/>
  <c r="X28" i="3"/>
  <c r="S28" i="3" s="1"/>
  <c r="X11" i="3"/>
  <c r="S11" i="3" s="1"/>
  <c r="X38" i="3"/>
  <c r="S38" i="3" s="1"/>
  <c r="X48" i="3"/>
  <c r="S48" i="3" s="1"/>
  <c r="X64" i="3"/>
  <c r="S64" i="3" s="1"/>
  <c r="X71" i="3"/>
  <c r="S71" i="3" s="1"/>
  <c r="X65" i="3"/>
  <c r="S65" i="3" s="1"/>
  <c r="X10" i="3"/>
  <c r="S10" i="3" s="1"/>
  <c r="X72" i="3"/>
  <c r="S72" i="3" s="1"/>
  <c r="X62" i="3"/>
  <c r="S62" i="3" s="1"/>
  <c r="X78" i="3"/>
  <c r="S78" i="3" s="1"/>
  <c r="X39" i="3"/>
  <c r="S39" i="3" s="1"/>
  <c r="X74" i="3"/>
  <c r="S74" i="3" s="1"/>
  <c r="X43" i="3"/>
  <c r="S43" i="3" s="1"/>
  <c r="X57" i="3"/>
  <c r="S57" i="3" s="1"/>
  <c r="X79" i="3"/>
  <c r="S79" i="3" s="1"/>
  <c r="X68" i="3"/>
  <c r="S68" i="3" s="1"/>
  <c r="X84" i="3"/>
  <c r="S84" i="3" s="1"/>
  <c r="X5" i="3"/>
  <c r="S5" i="3" s="1"/>
  <c r="X29" i="3"/>
  <c r="S29" i="3" s="1"/>
  <c r="X171" i="3"/>
  <c r="S171" i="3" s="1"/>
  <c r="S175" i="3" s="1"/>
  <c r="X44" i="3"/>
  <c r="S44" i="3" s="1"/>
  <c r="X42" i="3"/>
  <c r="S42" i="3" s="1"/>
  <c r="X34" i="3"/>
  <c r="S34" i="3" s="1"/>
  <c r="X7" i="3"/>
  <c r="X67" i="3"/>
  <c r="S67" i="3" s="1"/>
  <c r="X32" i="3"/>
  <c r="S32" i="3" s="1"/>
  <c r="X51" i="3"/>
  <c r="S51" i="3" s="1"/>
  <c r="X61" i="3"/>
  <c r="S61" i="3" s="1"/>
  <c r="X6" i="3"/>
  <c r="S6" i="3" s="1"/>
  <c r="X33" i="3"/>
  <c r="S33" i="3" s="1"/>
  <c r="X31" i="3"/>
  <c r="S31" i="3" s="1"/>
  <c r="X13" i="3"/>
  <c r="S13" i="3" s="1"/>
  <c r="X27" i="3"/>
  <c r="S27" i="3" s="1"/>
  <c r="X50" i="3"/>
  <c r="S50" i="3" s="1"/>
  <c r="X63" i="3"/>
  <c r="S63" i="3" s="1"/>
  <c r="X60" i="3"/>
  <c r="S60" i="3" s="1"/>
  <c r="X18" i="3"/>
  <c r="S18" i="3" s="1"/>
  <c r="X73" i="3"/>
  <c r="S73" i="3" s="1"/>
  <c r="X53" i="3"/>
  <c r="S53" i="3" s="1"/>
  <c r="X52" i="3"/>
  <c r="S52" i="3" s="1"/>
  <c r="X49" i="3"/>
  <c r="S49" i="3" s="1"/>
  <c r="X9" i="3"/>
  <c r="S9" i="3" s="1"/>
  <c r="X85" i="3"/>
  <c r="S85" i="3" s="1"/>
  <c r="X77" i="3"/>
  <c r="S77" i="3" s="1"/>
  <c r="X20" i="3"/>
  <c r="S20" i="3" s="1"/>
  <c r="B57" i="3"/>
  <c r="A57" i="3" s="1"/>
  <c r="B73" i="3"/>
  <c r="A73" i="3" s="1"/>
  <c r="B11" i="3"/>
  <c r="A11" i="3" s="1"/>
  <c r="B7" i="3"/>
  <c r="A7" i="3" s="1"/>
  <c r="B47" i="3"/>
  <c r="A47" i="3" s="1"/>
  <c r="B38" i="3"/>
  <c r="A38" i="3" s="1"/>
  <c r="B163" i="3"/>
  <c r="A163" i="3" s="1"/>
  <c r="B77" i="3"/>
  <c r="A77" i="3" s="1"/>
  <c r="B70" i="3"/>
  <c r="A70" i="3" s="1"/>
  <c r="B23" i="3"/>
  <c r="A23" i="3" s="1"/>
  <c r="B121" i="3"/>
  <c r="A121" i="3" s="1"/>
  <c r="A122" i="3"/>
  <c r="B159" i="3"/>
  <c r="A159" i="3" s="1"/>
  <c r="B90" i="3"/>
  <c r="A90" i="3" s="1"/>
  <c r="B17" i="3"/>
  <c r="A17" i="3" s="1"/>
  <c r="B60" i="3"/>
  <c r="A60" i="3" s="1"/>
  <c r="B54" i="3"/>
  <c r="A54" i="3" s="1"/>
  <c r="B63" i="3"/>
  <c r="A63" i="3" s="1"/>
  <c r="B78" i="3"/>
  <c r="A78" i="3" s="1"/>
  <c r="B148" i="3"/>
  <c r="A148" i="3" s="1"/>
  <c r="B139" i="3"/>
  <c r="A139" i="3" s="1"/>
  <c r="B33" i="3"/>
  <c r="A33" i="3" s="1"/>
  <c r="B19" i="3"/>
  <c r="A19" i="3" s="1"/>
  <c r="B154" i="3"/>
  <c r="A154" i="3" s="1"/>
  <c r="B155" i="3"/>
  <c r="A155" i="3" s="1"/>
  <c r="B156" i="3"/>
  <c r="A156" i="3" s="1"/>
  <c r="B107" i="3"/>
  <c r="A107" i="3" s="1"/>
  <c r="B134" i="3"/>
  <c r="A134" i="3" s="1"/>
  <c r="B108" i="3"/>
  <c r="A108" i="3" s="1"/>
  <c r="B30" i="3"/>
  <c r="A30" i="3" s="1"/>
  <c r="B152" i="3"/>
  <c r="A152" i="3" s="1"/>
  <c r="B65" i="3"/>
  <c r="A65" i="3" s="1"/>
  <c r="B105" i="3"/>
  <c r="A105" i="3" s="1"/>
  <c r="B40" i="3"/>
  <c r="A40" i="3" s="1"/>
  <c r="B42" i="3"/>
  <c r="A42" i="3" s="1"/>
  <c r="B106" i="3"/>
  <c r="A106" i="3" s="1"/>
  <c r="B93" i="3"/>
  <c r="A93" i="3" s="1"/>
  <c r="B135" i="3"/>
  <c r="A135" i="3" s="1"/>
  <c r="B144" i="3"/>
  <c r="A144" i="3" s="1"/>
  <c r="B146" i="3"/>
  <c r="A146" i="3" s="1"/>
  <c r="B127" i="3"/>
  <c r="A127" i="3" s="1"/>
  <c r="B150" i="3"/>
  <c r="A150" i="3" s="1"/>
  <c r="B36" i="3"/>
  <c r="A36" i="3" s="1"/>
  <c r="B37" i="3"/>
  <c r="A37" i="3" s="1"/>
  <c r="B18" i="3"/>
  <c r="A18" i="3" s="1"/>
  <c r="B141" i="3"/>
  <c r="A141" i="3" s="1"/>
  <c r="B125" i="3"/>
  <c r="A125" i="3" s="1"/>
  <c r="B45" i="3"/>
  <c r="A45" i="3" s="1"/>
  <c r="B137" i="3"/>
  <c r="A137" i="3" s="1"/>
  <c r="A62" i="3"/>
  <c r="B94" i="3"/>
  <c r="A94" i="3" s="1"/>
  <c r="B41" i="3"/>
  <c r="A41" i="3" s="1"/>
  <c r="B79" i="3"/>
  <c r="A79" i="3" s="1"/>
  <c r="B99" i="3"/>
  <c r="A99" i="3" s="1"/>
  <c r="B84" i="3"/>
  <c r="A84" i="3" s="1"/>
  <c r="B85" i="3"/>
  <c r="A85" i="3" s="1"/>
  <c r="B27" i="3"/>
  <c r="A27" i="3" s="1"/>
  <c r="B114" i="3"/>
  <c r="A114" i="3" s="1"/>
  <c r="B129" i="3"/>
  <c r="A129" i="3" s="1"/>
  <c r="B86" i="3"/>
  <c r="A86" i="3" s="1"/>
  <c r="B113" i="3"/>
  <c r="A113" i="3" s="1"/>
  <c r="B58" i="3"/>
  <c r="A58" i="3" s="1"/>
  <c r="B59" i="3"/>
  <c r="A59" i="3" s="1"/>
  <c r="B102" i="3"/>
  <c r="A102" i="3" s="1"/>
  <c r="B28" i="3"/>
  <c r="A28" i="3" s="1"/>
  <c r="B136" i="3"/>
  <c r="A136" i="3" s="1"/>
  <c r="B49" i="3"/>
  <c r="A49" i="3" s="1"/>
  <c r="B98" i="3"/>
  <c r="A98" i="3" s="1"/>
  <c r="B104" i="3"/>
  <c r="A104" i="3" s="1"/>
  <c r="B131" i="3"/>
  <c r="A131" i="3" s="1"/>
  <c r="B117" i="3"/>
  <c r="A117" i="3" s="1"/>
  <c r="B83" i="3"/>
  <c r="A83" i="3" s="1"/>
  <c r="B149" i="3"/>
  <c r="A149" i="3" s="1"/>
  <c r="B142" i="3"/>
  <c r="A142" i="3" s="1"/>
  <c r="B103" i="3"/>
  <c r="A103" i="3" s="1"/>
  <c r="B143" i="3"/>
  <c r="A143" i="3" s="1"/>
  <c r="B12" i="3"/>
  <c r="A12" i="3" s="1"/>
  <c r="B126" i="3"/>
  <c r="A126" i="3" s="1"/>
  <c r="B20" i="3"/>
  <c r="A20" i="3" s="1"/>
  <c r="B22" i="3"/>
  <c r="A22" i="3" s="1"/>
  <c r="B21" i="3"/>
  <c r="A21" i="3" s="1"/>
  <c r="B109" i="3"/>
  <c r="A109" i="3" s="1"/>
  <c r="B161" i="3"/>
  <c r="A161" i="3" s="1"/>
  <c r="B157" i="3"/>
  <c r="A157" i="3" s="1"/>
  <c r="B165" i="3"/>
  <c r="A165" i="3" s="1"/>
  <c r="B82" i="3"/>
  <c r="A82" i="3" s="1"/>
  <c r="B32" i="3"/>
  <c r="A32" i="3" s="1"/>
  <c r="B115" i="3"/>
  <c r="A115" i="3" s="1"/>
  <c r="B75" i="3"/>
  <c r="A75" i="3" s="1"/>
  <c r="B25" i="3"/>
  <c r="A25" i="3" s="1"/>
  <c r="B24" i="3"/>
  <c r="A24" i="3" s="1"/>
  <c r="B128" i="3"/>
  <c r="A128" i="3" s="1"/>
  <c r="B67" i="3"/>
  <c r="A67" i="3" s="1"/>
  <c r="B124" i="3"/>
  <c r="A124" i="3" s="1"/>
  <c r="B66" i="3"/>
  <c r="A66" i="3" s="1"/>
  <c r="B34" i="3"/>
  <c r="A34" i="3" s="1"/>
  <c r="B166" i="3"/>
  <c r="A166" i="3" s="1"/>
  <c r="B116" i="3"/>
  <c r="A116" i="3" s="1"/>
  <c r="B100" i="3"/>
  <c r="A100" i="3" s="1"/>
  <c r="B162" i="3"/>
  <c r="A162" i="3" s="1"/>
  <c r="B112" i="3"/>
  <c r="A112" i="3" s="1"/>
  <c r="B118" i="3"/>
  <c r="A118" i="3" s="1"/>
  <c r="B92" i="3"/>
  <c r="A92" i="3" s="1"/>
  <c r="B74" i="3"/>
  <c r="A74" i="3" s="1"/>
  <c r="B132" i="3"/>
  <c r="A132" i="3" s="1"/>
  <c r="B151" i="3"/>
  <c r="A151" i="3" s="1"/>
  <c r="B50" i="3"/>
  <c r="A50" i="3" s="1"/>
  <c r="B64" i="3"/>
  <c r="A64" i="3" s="1"/>
  <c r="B160" i="3"/>
  <c r="A160" i="3" s="1"/>
  <c r="B71" i="3"/>
  <c r="A71" i="3" s="1"/>
  <c r="B123" i="3"/>
  <c r="A123" i="3" s="1"/>
  <c r="B55" i="3"/>
  <c r="A55" i="3" s="1"/>
  <c r="B26" i="3"/>
  <c r="A26" i="3" s="1"/>
  <c r="B91" i="3"/>
  <c r="A91" i="3" s="1"/>
  <c r="B95" i="3"/>
  <c r="A95" i="3" s="1"/>
  <c r="B138" i="3"/>
  <c r="A138" i="3" s="1"/>
  <c r="B69" i="3"/>
  <c r="A69" i="3" s="1"/>
  <c r="B31" i="3"/>
  <c r="A31" i="3" s="1"/>
  <c r="B6" i="3"/>
  <c r="A6" i="3" s="1"/>
  <c r="B5" i="3"/>
  <c r="A5" i="3" s="1"/>
  <c r="B120" i="3"/>
  <c r="A120" i="3" s="1"/>
  <c r="B9" i="3"/>
  <c r="A9" i="3" s="1"/>
  <c r="B14" i="3"/>
  <c r="A14" i="3" s="1"/>
  <c r="B76" i="3"/>
  <c r="A76" i="3" s="1"/>
  <c r="B68" i="3"/>
  <c r="A68" i="3" s="1"/>
  <c r="B43" i="3"/>
  <c r="A43" i="3" s="1"/>
  <c r="B52" i="3"/>
  <c r="A52" i="3" s="1"/>
  <c r="B53" i="3"/>
  <c r="A53" i="3" s="1"/>
  <c r="B29" i="3"/>
  <c r="A29" i="3" s="1"/>
  <c r="B35" i="3"/>
  <c r="A35" i="3" s="1"/>
  <c r="B46" i="3"/>
  <c r="A46" i="3" s="1"/>
  <c r="B140" i="3"/>
  <c r="A140" i="3" s="1"/>
  <c r="B158" i="3"/>
  <c r="A158" i="3" s="1"/>
  <c r="B111" i="3"/>
  <c r="A111" i="3" s="1"/>
  <c r="B110" i="3"/>
  <c r="A110" i="3" s="1"/>
  <c r="B61" i="3"/>
  <c r="A61" i="3" s="1"/>
  <c r="B80" i="3"/>
  <c r="A80" i="3" s="1"/>
  <c r="B96" i="3"/>
  <c r="A96" i="3" s="1"/>
  <c r="B97" i="3"/>
  <c r="A97" i="3" s="1"/>
  <c r="B48" i="3"/>
  <c r="A48" i="3" s="1"/>
  <c r="B39" i="3"/>
  <c r="A39" i="3" s="1"/>
  <c r="B51" i="3"/>
  <c r="A51" i="3" s="1"/>
  <c r="B44" i="3"/>
  <c r="A44" i="3" s="1"/>
  <c r="B81" i="3"/>
  <c r="A81" i="3" s="1"/>
  <c r="B147" i="3"/>
  <c r="A147" i="3" s="1"/>
  <c r="B87" i="3"/>
  <c r="A87" i="3" s="1"/>
  <c r="B153" i="3"/>
  <c r="A153" i="3" s="1"/>
  <c r="B15" i="3"/>
  <c r="A15" i="3" s="1"/>
  <c r="B56" i="3"/>
  <c r="A56" i="3" s="1"/>
  <c r="B16" i="3"/>
  <c r="A16" i="3" s="1"/>
  <c r="B101" i="3"/>
  <c r="A101" i="3" s="1"/>
  <c r="B88" i="3"/>
  <c r="A88" i="3" s="1"/>
  <c r="B10" i="3"/>
  <c r="A10" i="3" s="1"/>
  <c r="B89" i="3"/>
  <c r="A89" i="3" s="1"/>
  <c r="B13" i="3"/>
  <c r="A13" i="3" s="1"/>
  <c r="B72" i="3"/>
  <c r="A72" i="3" s="1"/>
  <c r="B164" i="3"/>
  <c r="A164" i="3" s="1"/>
  <c r="B119" i="3"/>
  <c r="A119" i="3" s="1"/>
  <c r="B130" i="3"/>
  <c r="A130" i="3" s="1"/>
  <c r="S7" i="3" l="1"/>
  <c r="S168" i="3" s="1"/>
  <c r="X168" i="3"/>
  <c r="Y168" i="3"/>
  <c r="N171" i="3" s="1"/>
  <c r="N5" i="3"/>
</calcChain>
</file>

<file path=xl/sharedStrings.xml><?xml version="1.0" encoding="utf-8"?>
<sst xmlns="http://schemas.openxmlformats.org/spreadsheetml/2006/main" count="1774" uniqueCount="607">
  <si>
    <t>Priority Score</t>
  </si>
  <si>
    <t xml:space="preserve">Municipality </t>
  </si>
  <si>
    <t>Project Number</t>
  </si>
  <si>
    <t>Project Description</t>
  </si>
  <si>
    <t>Region</t>
  </si>
  <si>
    <t>Project Manager</t>
  </si>
  <si>
    <t>CME</t>
  </si>
  <si>
    <t>Population</t>
  </si>
  <si>
    <t>Requested Project Costs</t>
  </si>
  <si>
    <t>Estimated Loan Amount</t>
  </si>
  <si>
    <t>Total PF Points</t>
  </si>
  <si>
    <t>Eligible PF %</t>
  </si>
  <si>
    <t>WC</t>
  </si>
  <si>
    <t>Cameron</t>
  </si>
  <si>
    <t>Cassidy</t>
  </si>
  <si>
    <t>SC</t>
  </si>
  <si>
    <t>NE</t>
  </si>
  <si>
    <t>Hannes</t>
  </si>
  <si>
    <t>Balgooyen</t>
  </si>
  <si>
    <t>SE</t>
  </si>
  <si>
    <t>Atkinson</t>
  </si>
  <si>
    <t>NO</t>
  </si>
  <si>
    <t>Leizinger</t>
  </si>
  <si>
    <t>Calhoon</t>
  </si>
  <si>
    <t>TOTALS</t>
  </si>
  <si>
    <t>Maka</t>
  </si>
  <si>
    <t>WI MHI =</t>
  </si>
  <si>
    <t>ABBOTSFORD, CITY OF</t>
  </si>
  <si>
    <t>BLUE MOUNDS, VILLAGE OF</t>
  </si>
  <si>
    <t>Bushby</t>
  </si>
  <si>
    <t>LADYSMITH, CITY OF</t>
  </si>
  <si>
    <t>MAYVILLE, CITY OF</t>
  </si>
  <si>
    <t>MAZOMANIE, VILLAGE OF</t>
  </si>
  <si>
    <t>4948-02</t>
  </si>
  <si>
    <t>Replace WM on Hudson St.</t>
  </si>
  <si>
    <t>THREE LAKES SD #1</t>
  </si>
  <si>
    <t>5441-04</t>
  </si>
  <si>
    <t>Replace WM:Stanzil,North,S MI,RR,Olkowski,Nielson,Park,East</t>
  </si>
  <si>
    <t>Binder</t>
  </si>
  <si>
    <t>Zettl</t>
  </si>
  <si>
    <t>Aerts</t>
  </si>
  <si>
    <t>Surillo</t>
  </si>
  <si>
    <t>Mills</t>
  </si>
  <si>
    <t>Brietzman</t>
  </si>
  <si>
    <t>Construct New Well/Treatment/SCADA</t>
  </si>
  <si>
    <t>5436-07</t>
  </si>
  <si>
    <r>
      <t>Financial Need Points</t>
    </r>
    <r>
      <rPr>
        <b/>
        <vertAlign val="superscript"/>
        <sz val="11"/>
        <color theme="1"/>
        <rFont val="Calibri"/>
        <family val="2"/>
        <scheme val="minor"/>
      </rPr>
      <t>3</t>
    </r>
  </si>
  <si>
    <r>
      <rPr>
        <b/>
        <vertAlign val="superscript"/>
        <sz val="10"/>
        <color indexed="8"/>
        <rFont val="Arial"/>
        <family val="2"/>
      </rPr>
      <t xml:space="preserve">4 </t>
    </r>
    <r>
      <rPr>
        <sz val="10"/>
        <rFont val="Arial"/>
        <family val="2"/>
      </rPr>
      <t>Project Points represent the number of priority points that were calculated through the PERF score.  This score now excludes any points based off of financial need.</t>
    </r>
  </si>
  <si>
    <t>Replace Booster Station</t>
  </si>
  <si>
    <t>County</t>
  </si>
  <si>
    <t>Manitowoc</t>
  </si>
  <si>
    <t>Dane</t>
  </si>
  <si>
    <t>Brown</t>
  </si>
  <si>
    <t>Milwaukee</t>
  </si>
  <si>
    <t>Vernon</t>
  </si>
  <si>
    <t>Program</t>
  </si>
  <si>
    <t>BASE</t>
  </si>
  <si>
    <t>AMHERST, VILLAGE OF</t>
  </si>
  <si>
    <t>4753-05</t>
  </si>
  <si>
    <t>Upgrade Well #2</t>
  </si>
  <si>
    <t>Andruczyk</t>
  </si>
  <si>
    <t>4748-09</t>
  </si>
  <si>
    <t>New Well to address nitrate/capacity</t>
  </si>
  <si>
    <t>EC</t>
  </si>
  <si>
    <t>5310-05</t>
  </si>
  <si>
    <t>Treat Well #4 for PFAS (EC)</t>
  </si>
  <si>
    <t>4753-04</t>
  </si>
  <si>
    <t>Treat Well #1</t>
  </si>
  <si>
    <t>LSL</t>
  </si>
  <si>
    <t>4754-14</t>
  </si>
  <si>
    <t>BIL SFY24 LSL Program</t>
  </si>
  <si>
    <t>4755-05</t>
  </si>
  <si>
    <t>ARLINGTON, VILLAGE OF</t>
  </si>
  <si>
    <t>4758-12</t>
  </si>
  <si>
    <t xml:space="preserve">Rehabilitate Water Tower </t>
  </si>
  <si>
    <t>Boelkow</t>
  </si>
  <si>
    <t>ASHLAND, CITY OF</t>
  </si>
  <si>
    <t>4759-28</t>
  </si>
  <si>
    <t>Sweeney</t>
  </si>
  <si>
    <t>4759-24</t>
  </si>
  <si>
    <t>Replace WMs on McArthur Ave</t>
  </si>
  <si>
    <t>4759-27</t>
  </si>
  <si>
    <t>Install Raw Water Intake</t>
  </si>
  <si>
    <t>AUGUSTA, CITY OF</t>
  </si>
  <si>
    <t>5186-11</t>
  </si>
  <si>
    <t>Construct WM loop between Wells #7 and #11</t>
  </si>
  <si>
    <t>BALDWIN, VILLAGE OF</t>
  </si>
  <si>
    <t>5384-06</t>
  </si>
  <si>
    <t>Replace Watermain on Curtis St and 8th Ave</t>
  </si>
  <si>
    <t>Higgins</t>
  </si>
  <si>
    <t>5384-08</t>
  </si>
  <si>
    <t>Rehab North Water Tower</t>
  </si>
  <si>
    <t>5384-07</t>
  </si>
  <si>
    <t>Replace Watermain on 9th Ave, Oak St and Maple St</t>
  </si>
  <si>
    <t>5329-05</t>
  </si>
  <si>
    <t>Well #1 wellhouse improvements &amp; water transmission main</t>
  </si>
  <si>
    <t>BARABOO, CITY OF</t>
  </si>
  <si>
    <t>4762-05</t>
  </si>
  <si>
    <t>4762-06</t>
  </si>
  <si>
    <t>Replace Watermain on 8th Ave and 8th St</t>
  </si>
  <si>
    <t>BARNEVELD, VILLAGE OF</t>
  </si>
  <si>
    <t>Leja</t>
  </si>
  <si>
    <t>4763-02</t>
  </si>
  <si>
    <t>Construct Well 3, Wellhouse, SCADA</t>
  </si>
  <si>
    <t>4764-12</t>
  </si>
  <si>
    <t>4764-11</t>
  </si>
  <si>
    <t>Replace Watermain on Currie St</t>
  </si>
  <si>
    <t>4764-10</t>
  </si>
  <si>
    <t>Replace Watermain on Front St, Beaver St and West St</t>
  </si>
  <si>
    <t>5471-05</t>
  </si>
  <si>
    <t>BIRCHWOOD, VILLAGE OF</t>
  </si>
  <si>
    <t>5478-07</t>
  </si>
  <si>
    <t>Well #1 Chemical Feed System</t>
  </si>
  <si>
    <t>Jimenez</t>
  </si>
  <si>
    <t>5478-06</t>
  </si>
  <si>
    <t>Elevated Tank Repairs</t>
  </si>
  <si>
    <t>BLACK CREEK, VILLAGE OF</t>
  </si>
  <si>
    <t>5328-03</t>
  </si>
  <si>
    <t>Replace WMs on S Main St</t>
  </si>
  <si>
    <t>Pope</t>
  </si>
  <si>
    <t>BLACK EARTH, VILLAGE OF</t>
  </si>
  <si>
    <t>5484-02</t>
  </si>
  <si>
    <t>Replace Aged 6" WMs w/ Larger Ductile Iron; Replace Services</t>
  </si>
  <si>
    <t>BLAIR, CITY OF</t>
  </si>
  <si>
    <t>5263-05</t>
  </si>
  <si>
    <t>Replace Wms on Broadway St. and Pearl St.</t>
  </si>
  <si>
    <t>BLOOMINGTON, VILLAGE OF</t>
  </si>
  <si>
    <t>5065-05</t>
  </si>
  <si>
    <t>Replace WM on Wall St.</t>
  </si>
  <si>
    <t>Patek</t>
  </si>
  <si>
    <t>4768-03</t>
  </si>
  <si>
    <t>Watermain Replacement on Division St and Mound Rd</t>
  </si>
  <si>
    <t>CAMBRIDGE, VILLAGE OF</t>
  </si>
  <si>
    <t>5055-05</t>
  </si>
  <si>
    <t>Well 3 rehab, treatment</t>
  </si>
  <si>
    <t>CASCADE, VILLAGE OF</t>
  </si>
  <si>
    <t>5281-05</t>
  </si>
  <si>
    <t>Replace Water Meters</t>
  </si>
  <si>
    <t>5281-04</t>
  </si>
  <si>
    <t>Construct Well #3</t>
  </si>
  <si>
    <t>5628-02</t>
  </si>
  <si>
    <t>4781-07</t>
  </si>
  <si>
    <t>Replace Water Tower</t>
  </si>
  <si>
    <t>4783-04</t>
  </si>
  <si>
    <t>Bolitho</t>
  </si>
  <si>
    <t>COLBY, CITY OF</t>
  </si>
  <si>
    <t>4786-13</t>
  </si>
  <si>
    <t>Replace Watermain on STH 13</t>
  </si>
  <si>
    <t>4790-05</t>
  </si>
  <si>
    <t>DICKEYVILLE, VILLAGE OF</t>
  </si>
  <si>
    <t>4794-08</t>
  </si>
  <si>
    <t>Replace WMs on N. Center and S. Center Sts.</t>
  </si>
  <si>
    <t>DRESSER, VILLAGE OF</t>
  </si>
  <si>
    <t>4796-05</t>
  </si>
  <si>
    <t>4796-06</t>
  </si>
  <si>
    <t>Replace WMs on 1st and 2nd Streets</t>
  </si>
  <si>
    <t>EDGAR, VILLAGE OF</t>
  </si>
  <si>
    <t>5360-03</t>
  </si>
  <si>
    <t>Replace WM on Wisconsin Ave and George Wagner Dr</t>
  </si>
  <si>
    <t>EDGERTON, CITY OF</t>
  </si>
  <si>
    <t>4800-03</t>
  </si>
  <si>
    <t>5449-09</t>
  </si>
  <si>
    <t>Treat PFAS at WTP; 8 MGD System (EC)</t>
  </si>
  <si>
    <t>4800-08</t>
  </si>
  <si>
    <t>5525-05</t>
  </si>
  <si>
    <t>5525-08</t>
  </si>
  <si>
    <t>Replace Water Main - Wright St</t>
  </si>
  <si>
    <t>5525-06</t>
  </si>
  <si>
    <t>Replace Water Main - Centralia St - Phase 1</t>
  </si>
  <si>
    <t>5525-09</t>
  </si>
  <si>
    <t>Increase Capacity - Lakeland WTP</t>
  </si>
  <si>
    <t>ELLSWORTH, VILLAGE OF</t>
  </si>
  <si>
    <t>5283-11</t>
  </si>
  <si>
    <t>Replace WM on Grant St, Piety St, Woodworth St, Strickland Ave</t>
  </si>
  <si>
    <t>4803-07</t>
  </si>
  <si>
    <t>GRANTON, VILLAGE OF</t>
  </si>
  <si>
    <t>5051-07</t>
  </si>
  <si>
    <t>Replace Watermain on Main St</t>
  </si>
  <si>
    <t>5331-31</t>
  </si>
  <si>
    <t>GREENWOOD, CITY OF</t>
  </si>
  <si>
    <t>5246-07</t>
  </si>
  <si>
    <t>Replace WM on West Miller St</t>
  </si>
  <si>
    <t>HAWKINS, VILLAGE OF</t>
  </si>
  <si>
    <t>5507-02</t>
  </si>
  <si>
    <t>5507-04</t>
  </si>
  <si>
    <t>Rehabilitate Well #3</t>
  </si>
  <si>
    <t>5507-05</t>
  </si>
  <si>
    <t>Rehabilitate Well #2</t>
  </si>
  <si>
    <t>HAYWARD, CITY OF</t>
  </si>
  <si>
    <t>5198-03</t>
  </si>
  <si>
    <t>Replace WMs on West 2nd St and connecting streets</t>
  </si>
  <si>
    <t>HIGHLAND, VILLAGE OF</t>
  </si>
  <si>
    <t>4818-05</t>
  </si>
  <si>
    <t>Replace Watermain on Isabell St and Grand St</t>
  </si>
  <si>
    <t>5119-08</t>
  </si>
  <si>
    <t>JUNCTION CITY, VILLAGE OF</t>
  </si>
  <si>
    <t>4989-12</t>
  </si>
  <si>
    <t>Construct Looping Main between Case and 3rd Streets</t>
  </si>
  <si>
    <t>4989-11</t>
  </si>
  <si>
    <t>Recoat Water Tank</t>
  </si>
  <si>
    <t>5120-14</t>
  </si>
  <si>
    <t>BIL SFY24 LSL Program - Census Tract 123</t>
  </si>
  <si>
    <t>5120-10</t>
  </si>
  <si>
    <t>BIL SFY24 LSL Program - Census Tract 122</t>
  </si>
  <si>
    <t>5120-13</t>
  </si>
  <si>
    <t>Replace WMs on Canal, Park, Klein, 4th, 5th, Hendricks...</t>
  </si>
  <si>
    <t>4825-08</t>
  </si>
  <si>
    <t>BIL SFY24 LSL Program - Census Tracts 9, 10, 11, 12, 16 and 18</t>
  </si>
  <si>
    <t>KEWASKUM, VILLAGE OF</t>
  </si>
  <si>
    <t>5548-02</t>
  </si>
  <si>
    <t>Replace Watermain on USH 45</t>
  </si>
  <si>
    <t>LA FARGE, VILLAGE OF</t>
  </si>
  <si>
    <t>4827-05</t>
  </si>
  <si>
    <t>Replace WMs and Looping on Main, Cherry, Snow...</t>
  </si>
  <si>
    <t>5369-20</t>
  </si>
  <si>
    <t>5369-21</t>
  </si>
  <si>
    <t>Replace WMs on Corbett Ave</t>
  </si>
  <si>
    <t>5369-14</t>
  </si>
  <si>
    <t>Replace WMs along Lindoo Ave</t>
  </si>
  <si>
    <t>5369-19</t>
  </si>
  <si>
    <t>Replace Watermains on Miner Ave</t>
  </si>
  <si>
    <t>LIVINGSTON, VILLAGE OF</t>
  </si>
  <si>
    <t>5248-08</t>
  </si>
  <si>
    <t>Replace Watermains on Park St, Clifton St and Florence St</t>
  </si>
  <si>
    <t>4837-10</t>
  </si>
  <si>
    <t>Well 12 Booster Pumps/ Pressure Zone 7/8 Transfer Vault</t>
  </si>
  <si>
    <t>4837-11</t>
  </si>
  <si>
    <t>Well #12 and #26 Booster Pump Replacement</t>
  </si>
  <si>
    <t>4837-12</t>
  </si>
  <si>
    <t>Pressure Zone 6W-7: Pressure Control and Transfer Vault</t>
  </si>
  <si>
    <t>4837-07</t>
  </si>
  <si>
    <t>Replace WMs at multiple locations</t>
  </si>
  <si>
    <t>4837-09</t>
  </si>
  <si>
    <t>Treat Well #15 for PFAS (EC)</t>
  </si>
  <si>
    <t>5191-18</t>
  </si>
  <si>
    <t>BIL SFY24 LSL Program - Municipal</t>
  </si>
  <si>
    <t>5191-17</t>
  </si>
  <si>
    <t>5191-16</t>
  </si>
  <si>
    <t>MATTOON, VILLAGE OF</t>
  </si>
  <si>
    <t>4842-06</t>
  </si>
  <si>
    <t xml:space="preserve">Construct Looping Main </t>
  </si>
  <si>
    <t>5443-13</t>
  </si>
  <si>
    <t>Reroute WM to CTH V from N Main St</t>
  </si>
  <si>
    <t>5443-12</t>
  </si>
  <si>
    <t>Replace WMs on Alley Street; Looping Main</t>
  </si>
  <si>
    <t>MEDFORD, CITY OF</t>
  </si>
  <si>
    <t>4844-02</t>
  </si>
  <si>
    <t>Replace Watermains on STH 64</t>
  </si>
  <si>
    <t>MELLEN, CITY OF</t>
  </si>
  <si>
    <t>5444-04</t>
  </si>
  <si>
    <t>Replace WMs on STH 13</t>
  </si>
  <si>
    <t>4845-22</t>
  </si>
  <si>
    <t>Replace Watermains on Racine St</t>
  </si>
  <si>
    <t>4851-44</t>
  </si>
  <si>
    <t>Replace Watermains 2023</t>
  </si>
  <si>
    <t>4851-45</t>
  </si>
  <si>
    <t>BIL SFY24 LSL Program - Census Tract</t>
  </si>
  <si>
    <t>4851-43</t>
  </si>
  <si>
    <t>MONTFORT, VILLAGE OF</t>
  </si>
  <si>
    <t>4961-04</t>
  </si>
  <si>
    <t>Replace WMs, Park Street</t>
  </si>
  <si>
    <t>MONTICELLO, VILLAGE OF</t>
  </si>
  <si>
    <t>4853-06</t>
  </si>
  <si>
    <t>Construct Well #4</t>
  </si>
  <si>
    <t>4853-03</t>
  </si>
  <si>
    <t>Replace WMs Along E Lake Ave</t>
  </si>
  <si>
    <t>MONTREAL, CITY OF</t>
  </si>
  <si>
    <t>5621-04</t>
  </si>
  <si>
    <t>5621-03</t>
  </si>
  <si>
    <t>Treat Well #5 for Mn &amp; DBP</t>
  </si>
  <si>
    <t>MUKWONAGO, VILLAGE OF</t>
  </si>
  <si>
    <t>4854-04</t>
  </si>
  <si>
    <t>North Tank Repainting</t>
  </si>
  <si>
    <t>NEW AUBURN, VILLAGE OF</t>
  </si>
  <si>
    <t>5202-09</t>
  </si>
  <si>
    <t>Replace Watermain on North St</t>
  </si>
  <si>
    <t>5202-10</t>
  </si>
  <si>
    <t>Replace Watermain on Elm St</t>
  </si>
  <si>
    <t>NEW HOLSTEIN, CITY OF</t>
  </si>
  <si>
    <t>5366-08</t>
  </si>
  <si>
    <t>Replace Watermains on Wisconsin Ave</t>
  </si>
  <si>
    <t>NEW LONDON, CITY OF</t>
  </si>
  <si>
    <t>5564-05</t>
  </si>
  <si>
    <t>Replace Watermains on W Quincy St</t>
  </si>
  <si>
    <t>5564-06</t>
  </si>
  <si>
    <t>Replace Watermains on N Water St</t>
  </si>
  <si>
    <t>5452-08</t>
  </si>
  <si>
    <t>BIL SFY24 LSL Program-- Census Tracts</t>
  </si>
  <si>
    <t>OMRO, CITY OF</t>
  </si>
  <si>
    <t>5091-16</t>
  </si>
  <si>
    <t>5091-11</t>
  </si>
  <si>
    <t>Replace WM on Larabee St</t>
  </si>
  <si>
    <t>ORFORDVILLE, VILLAGE OF</t>
  </si>
  <si>
    <t>5488-04</t>
  </si>
  <si>
    <t>Rehab/Paint Water Tower</t>
  </si>
  <si>
    <t>4874-15</t>
  </si>
  <si>
    <t>PHILLIPS, CITY OF</t>
  </si>
  <si>
    <t>4878-03</t>
  </si>
  <si>
    <t>Replace Watermains on Fifield St</t>
  </si>
  <si>
    <t>PLAIN, VILLAGE OF</t>
  </si>
  <si>
    <t>5286-03</t>
  </si>
  <si>
    <t>Replace Watermains on Cedar St</t>
  </si>
  <si>
    <t>4881-10</t>
  </si>
  <si>
    <t>4883-03</t>
  </si>
  <si>
    <t>Upgrade Water Treatment Plant</t>
  </si>
  <si>
    <t>PRAIRIE DU SAC, VILLAGE OF</t>
  </si>
  <si>
    <t>5373-08</t>
  </si>
  <si>
    <t>Construct Connection to Green Bay Water Utility</t>
  </si>
  <si>
    <t>4887-16</t>
  </si>
  <si>
    <t>4887-17</t>
  </si>
  <si>
    <t>Rehab/Improve Water Treatment Filtration</t>
  </si>
  <si>
    <t>RANDOLPH, VILLAGE OF</t>
  </si>
  <si>
    <t>4888-07</t>
  </si>
  <si>
    <t>Replace WMs along 1st, 2nd, Center, and Grove Sts.</t>
  </si>
  <si>
    <t>READSTOWN, VILLAGE OF</t>
  </si>
  <si>
    <t>5523-06</t>
  </si>
  <si>
    <t>Replace Watermains on Maiben, S Drake, E Center and USH 14</t>
  </si>
  <si>
    <t>5523-07</t>
  </si>
  <si>
    <t>Construct New Well #2</t>
  </si>
  <si>
    <t>REEDSVILLE, VILLAGE OF</t>
  </si>
  <si>
    <t>4892-04</t>
  </si>
  <si>
    <t>Well 3 Transmission Main to Well  5</t>
  </si>
  <si>
    <t>4892-03</t>
  </si>
  <si>
    <t>Well No. 5 Nitrate Treatment Equipment and Upgrades</t>
  </si>
  <si>
    <t>RIB LAKE, VILLAGE OF</t>
  </si>
  <si>
    <t>5367-02</t>
  </si>
  <si>
    <t>Water Tower Rehabilitation</t>
  </si>
  <si>
    <t>surillo</t>
  </si>
  <si>
    <t>5590-05</t>
  </si>
  <si>
    <t>Install Permanent Treatment for PFAS, Iron and Manganese (EC)</t>
  </si>
  <si>
    <t>4896-13</t>
  </si>
  <si>
    <t>Construct Treatment Facility for PFAs (EC)</t>
  </si>
  <si>
    <t>5565-04</t>
  </si>
  <si>
    <t>SHEBOYGAN FALLS, CITY OF</t>
  </si>
  <si>
    <t>5656-01</t>
  </si>
  <si>
    <t>Replace Existing Fond du Lac Ave Booster Station</t>
  </si>
  <si>
    <t>4901-11</t>
  </si>
  <si>
    <t>4907-07</t>
  </si>
  <si>
    <t>BIL SFY24 LSL Program: Census Tracts 1702, 1705, 1706</t>
  </si>
  <si>
    <t>4907-05</t>
  </si>
  <si>
    <t>BIL SFY24 LSL Program: Census Tracts 1701, 1703, 1707</t>
  </si>
  <si>
    <t>SPENCER, VILLAGE OF</t>
  </si>
  <si>
    <t>4911-09</t>
  </si>
  <si>
    <t>4911-08</t>
  </si>
  <si>
    <t>Replace Watermains on Ash St</t>
  </si>
  <si>
    <t>ST. CROIX FALLS, CITY OF</t>
  </si>
  <si>
    <t>5430-12</t>
  </si>
  <si>
    <t>THERESA, VILLAGE OF</t>
  </si>
  <si>
    <t>5655-02</t>
  </si>
  <si>
    <t>Replace Watermains on Mayville St</t>
  </si>
  <si>
    <t>TWO RIVERS, CITY OF</t>
  </si>
  <si>
    <t>4920-50</t>
  </si>
  <si>
    <t>Replace Watermains System Wide</t>
  </si>
  <si>
    <t>4920-49</t>
  </si>
  <si>
    <t>VESPER, VILLAGE OF</t>
  </si>
  <si>
    <t>5549-08</t>
  </si>
  <si>
    <t>Upgrade/Rehab Water Treatment Plant</t>
  </si>
  <si>
    <t>5549-07</t>
  </si>
  <si>
    <t>Replace Raw Watermain from Wells to Treatment Plant</t>
  </si>
  <si>
    <t>5549-09</t>
  </si>
  <si>
    <t>Construction Watermain Loop for Southwest</t>
  </si>
  <si>
    <t>5168-13</t>
  </si>
  <si>
    <t>WASHBURN, CITY OF</t>
  </si>
  <si>
    <t>4947-02</t>
  </si>
  <si>
    <t>Replace Watermains on STH 13 and others</t>
  </si>
  <si>
    <t>4947-03</t>
  </si>
  <si>
    <t>WATERLOO, CITY OF</t>
  </si>
  <si>
    <t>4962-06</t>
  </si>
  <si>
    <t>Upgrade electrical, pumping, controls, chem feed @ well 2</t>
  </si>
  <si>
    <t>4929-08</t>
  </si>
  <si>
    <t>4930-21</t>
  </si>
  <si>
    <t>Construct Watermain on Stettin Dr to Stewart Park</t>
  </si>
  <si>
    <t>4930-18</t>
  </si>
  <si>
    <t>Construct Watermain Looping on Westside</t>
  </si>
  <si>
    <t>4930-15</t>
  </si>
  <si>
    <t>Replace Watermains on Eau Claire Blvd</t>
  </si>
  <si>
    <t>4930-20</t>
  </si>
  <si>
    <t>Interim Treatment for PFAs (EC only)</t>
  </si>
  <si>
    <t>4930-14</t>
  </si>
  <si>
    <t>4930-19</t>
  </si>
  <si>
    <t>Construct GAC Treatment System for PFAs (EC)</t>
  </si>
  <si>
    <t>WEST BARABOO, VILLAGE OF</t>
  </si>
  <si>
    <t>4933-05</t>
  </si>
  <si>
    <t>Replace WMs on Linn St.</t>
  </si>
  <si>
    <t>5386-05</t>
  </si>
  <si>
    <t>Treat Wells #4, #11 and #12 for PFAs (EC)</t>
  </si>
  <si>
    <t>4935-04</t>
  </si>
  <si>
    <t>4936-03</t>
  </si>
  <si>
    <t>WHITING, VILLAGE OF</t>
  </si>
  <si>
    <t>5388-05</t>
  </si>
  <si>
    <t>Rehab/Upgrade Treatment Plant for Well #1</t>
  </si>
  <si>
    <t>WILLIAMS BAY, VILLAGE OF</t>
  </si>
  <si>
    <t>4938-04</t>
  </si>
  <si>
    <t>Improvements to Water Treatment Facility</t>
  </si>
  <si>
    <t>WINDSOR, VILLAGE OF</t>
  </si>
  <si>
    <t>5649-01</t>
  </si>
  <si>
    <t>Replace Watermain System Wide</t>
  </si>
  <si>
    <t>WIOTA SD #1</t>
  </si>
  <si>
    <t>5442-03</t>
  </si>
  <si>
    <t>Upgrade Well/House #1 Including Controls &amp; Pump</t>
  </si>
  <si>
    <t>(Subsidized Loan rate)</t>
  </si>
  <si>
    <r>
      <t xml:space="preserve">1 </t>
    </r>
    <r>
      <rPr>
        <sz val="10"/>
        <rFont val="Arial"/>
        <family val="2"/>
      </rPr>
      <t>Designated as a Federal Equivalency project.</t>
    </r>
  </si>
  <si>
    <t>Rock</t>
  </si>
  <si>
    <t>Kenosha</t>
  </si>
  <si>
    <t>Racine</t>
  </si>
  <si>
    <t>Sheboygan</t>
  </si>
  <si>
    <t>Ashland</t>
  </si>
  <si>
    <t>Portage</t>
  </si>
  <si>
    <t>Clark</t>
  </si>
  <si>
    <t>Adams</t>
  </si>
  <si>
    <t>Langlade</t>
  </si>
  <si>
    <t>Winnebago</t>
  </si>
  <si>
    <t>Columbia</t>
  </si>
  <si>
    <t>Eau Claire</t>
  </si>
  <si>
    <t>St. Croix</t>
  </si>
  <si>
    <t>Polk</t>
  </si>
  <si>
    <t>Sauk</t>
  </si>
  <si>
    <t>Iowa</t>
  </si>
  <si>
    <t>Dodge</t>
  </si>
  <si>
    <t>Washburn</t>
  </si>
  <si>
    <t>Outgamie</t>
  </si>
  <si>
    <t>Trempeleau</t>
  </si>
  <si>
    <t>Grant</t>
  </si>
  <si>
    <t>Ozaukee</t>
  </si>
  <si>
    <t>Barron</t>
  </si>
  <si>
    <t>Chippewa</t>
  </si>
  <si>
    <t>Marathon</t>
  </si>
  <si>
    <t>Walworth</t>
  </si>
  <si>
    <t>Pierce</t>
  </si>
  <si>
    <t>Rusk</t>
  </si>
  <si>
    <t>Sawyer</t>
  </si>
  <si>
    <t>Washington</t>
  </si>
  <si>
    <t>Wood</t>
  </si>
  <si>
    <t>Shawano</t>
  </si>
  <si>
    <t>Taylor</t>
  </si>
  <si>
    <t>Green</t>
  </si>
  <si>
    <t>Iron</t>
  </si>
  <si>
    <t>Waukesha</t>
  </si>
  <si>
    <t>Calumet</t>
  </si>
  <si>
    <t>Waupaca</t>
  </si>
  <si>
    <t>Price</t>
  </si>
  <si>
    <t>Bayfield</t>
  </si>
  <si>
    <t>Jefferson</t>
  </si>
  <si>
    <t>Lafayette</t>
  </si>
  <si>
    <t>Oneida</t>
  </si>
  <si>
    <t>5564-04</t>
  </si>
  <si>
    <t>5452-09</t>
  </si>
  <si>
    <t>BIL SFY24 LSL PROGRAM-- Oakwood Ave and Grove St Census Tracts</t>
  </si>
  <si>
    <t>4887-19</t>
  </si>
  <si>
    <t>Construct 42" Watermain</t>
  </si>
  <si>
    <t>Treat Well #4 for PFAs (EC)</t>
  </si>
  <si>
    <t>Remaining Requested Costs after subtracting for BIL PF</t>
  </si>
  <si>
    <t>4837-08</t>
  </si>
  <si>
    <t>Well #19 Upgrades</t>
  </si>
  <si>
    <t>Construct New Well #5</t>
  </si>
  <si>
    <t>4885-03</t>
  </si>
  <si>
    <t>LSL RATE</t>
  </si>
  <si>
    <t>PF calculation</t>
  </si>
  <si>
    <t>General PF Estimate</t>
  </si>
  <si>
    <r>
      <t>MADISON, CITY OF</t>
    </r>
    <r>
      <rPr>
        <vertAlign val="superscript"/>
        <sz val="11"/>
        <color theme="1"/>
        <rFont val="Calibri"/>
        <family val="2"/>
      </rPr>
      <t>1</t>
    </r>
  </si>
  <si>
    <r>
      <t>GREEN BAY, CITY OF</t>
    </r>
    <r>
      <rPr>
        <vertAlign val="superscript"/>
        <sz val="11"/>
        <color theme="1"/>
        <rFont val="Calibri"/>
        <family val="2"/>
      </rPr>
      <t>1</t>
    </r>
  </si>
  <si>
    <r>
      <t>KENOSHA, CITY OF</t>
    </r>
    <r>
      <rPr>
        <vertAlign val="superscript"/>
        <sz val="11"/>
        <color theme="1"/>
        <rFont val="Calibri"/>
        <family val="2"/>
      </rPr>
      <t>1</t>
    </r>
  </si>
  <si>
    <r>
      <t>RACINE, CITY OF</t>
    </r>
    <r>
      <rPr>
        <vertAlign val="superscript"/>
        <sz val="11"/>
        <color theme="1"/>
        <rFont val="Calibri"/>
        <family val="2"/>
      </rPr>
      <t>1</t>
    </r>
  </si>
  <si>
    <r>
      <t>APPLETON, CITY OF</t>
    </r>
    <r>
      <rPr>
        <vertAlign val="superscript"/>
        <sz val="11"/>
        <color theme="1"/>
        <rFont val="Calibri"/>
        <family val="2"/>
      </rPr>
      <t>1</t>
    </r>
  </si>
  <si>
    <r>
      <t>EAU CLAIRE, CITY OF</t>
    </r>
    <r>
      <rPr>
        <vertAlign val="superscript"/>
        <sz val="11"/>
        <color rgb="FF000000"/>
        <rFont val="Calibri"/>
        <family val="2"/>
      </rPr>
      <t>1</t>
    </r>
  </si>
  <si>
    <r>
      <t>OSHKOSH, CITY OF</t>
    </r>
    <r>
      <rPr>
        <vertAlign val="superscript"/>
        <sz val="11"/>
        <color theme="1"/>
        <rFont val="Calibri"/>
        <family val="2"/>
      </rPr>
      <t>1</t>
    </r>
  </si>
  <si>
    <r>
      <t>JANESVILLE, CITY OF</t>
    </r>
    <r>
      <rPr>
        <vertAlign val="superscript"/>
        <sz val="11"/>
        <color theme="1"/>
        <rFont val="Calibri"/>
        <family val="2"/>
      </rPr>
      <t>1</t>
    </r>
  </si>
  <si>
    <r>
      <t>SHEBOYGAN, CITY OF</t>
    </r>
    <r>
      <rPr>
        <vertAlign val="superscript"/>
        <sz val="11"/>
        <color theme="1"/>
        <rFont val="Calibri"/>
        <family val="2"/>
      </rPr>
      <t>1</t>
    </r>
  </si>
  <si>
    <r>
      <t>WAUSAU, CITY OF</t>
    </r>
    <r>
      <rPr>
        <vertAlign val="superscript"/>
        <sz val="11"/>
        <color theme="1"/>
        <rFont val="Calibri"/>
        <family val="2"/>
      </rPr>
      <t>1</t>
    </r>
  </si>
  <si>
    <r>
      <t>BELOIT, CITY OF</t>
    </r>
    <r>
      <rPr>
        <vertAlign val="superscript"/>
        <sz val="11"/>
        <color theme="1"/>
        <rFont val="Calibri"/>
        <family val="2"/>
      </rPr>
      <t>1</t>
    </r>
  </si>
  <si>
    <r>
      <t>MANITOWOC, CITY OF</t>
    </r>
    <r>
      <rPr>
        <vertAlign val="superscript"/>
        <sz val="11"/>
        <color theme="1"/>
        <rFont val="Calibri"/>
        <family val="2"/>
      </rPr>
      <t>1</t>
    </r>
  </si>
  <si>
    <r>
      <t>WEST BEND, CITY OF</t>
    </r>
    <r>
      <rPr>
        <vertAlign val="superscript"/>
        <sz val="11"/>
        <color theme="1"/>
        <rFont val="Calibri"/>
        <family val="2"/>
      </rPr>
      <t>1</t>
    </r>
  </si>
  <si>
    <r>
      <t>SOUTH MILWAUKEE, CITY OF</t>
    </r>
    <r>
      <rPr>
        <vertAlign val="superscript"/>
        <sz val="11"/>
        <color theme="1"/>
        <rFont val="Calibri"/>
        <family val="2"/>
      </rPr>
      <t>1</t>
    </r>
  </si>
  <si>
    <r>
      <t>MENASHA, CITY OF</t>
    </r>
    <r>
      <rPr>
        <vertAlign val="superscript"/>
        <sz val="11"/>
        <color theme="1"/>
        <rFont val="Calibri"/>
        <family val="2"/>
      </rPr>
      <t>1</t>
    </r>
  </si>
  <si>
    <r>
      <t>OCONOMOWOC, CITY OF</t>
    </r>
    <r>
      <rPr>
        <vertAlign val="superscript"/>
        <sz val="11"/>
        <color theme="1"/>
        <rFont val="Calibri"/>
        <family val="2"/>
      </rPr>
      <t>1</t>
    </r>
  </si>
  <si>
    <r>
      <t>CUDAHY, CITY OF</t>
    </r>
    <r>
      <rPr>
        <vertAlign val="superscript"/>
        <sz val="11"/>
        <color theme="1"/>
        <rFont val="Calibri"/>
        <family val="2"/>
      </rPr>
      <t>1</t>
    </r>
  </si>
  <si>
    <r>
      <t>KAUKAUNA, CITY OF</t>
    </r>
    <r>
      <rPr>
        <vertAlign val="superscript"/>
        <sz val="11"/>
        <color theme="1"/>
        <rFont val="Calibri"/>
        <family val="2"/>
      </rPr>
      <t>1</t>
    </r>
  </si>
  <si>
    <r>
      <t>BEAVER DAM, CITY OF</t>
    </r>
    <r>
      <rPr>
        <vertAlign val="superscript"/>
        <sz val="11"/>
        <color theme="1"/>
        <rFont val="Calibri"/>
        <family val="2"/>
      </rPr>
      <t>1</t>
    </r>
  </si>
  <si>
    <r>
      <t>WESTON, VILLAGE OF</t>
    </r>
    <r>
      <rPr>
        <vertAlign val="superscript"/>
        <sz val="11"/>
        <color theme="1"/>
        <rFont val="Calibri"/>
        <family val="2"/>
      </rPr>
      <t>1</t>
    </r>
  </si>
  <si>
    <r>
      <t>MILWAUKEE, CITY OF</t>
    </r>
    <r>
      <rPr>
        <vertAlign val="superscript"/>
        <sz val="11"/>
        <color theme="1"/>
        <rFont val="Calibri"/>
        <family val="2"/>
      </rPr>
      <t>1,2</t>
    </r>
  </si>
  <si>
    <r>
      <t>WAUSAU, CITY OF</t>
    </r>
    <r>
      <rPr>
        <vertAlign val="superscript"/>
        <sz val="11"/>
        <color theme="1"/>
        <rFont val="Calibri"/>
        <family val="2"/>
      </rPr>
      <t>1,2</t>
    </r>
  </si>
  <si>
    <r>
      <t>ASHLAND, CITY OF</t>
    </r>
    <r>
      <rPr>
        <vertAlign val="superscript"/>
        <sz val="11"/>
        <color theme="1"/>
        <rFont val="Calibri"/>
        <family val="2"/>
      </rPr>
      <t>2</t>
    </r>
  </si>
  <si>
    <r>
      <t>PULASKI, VILLAGE OF</t>
    </r>
    <r>
      <rPr>
        <vertAlign val="superscript"/>
        <sz val="11"/>
        <color theme="1"/>
        <rFont val="Calibri"/>
        <family val="2"/>
      </rPr>
      <t>2</t>
    </r>
  </si>
  <si>
    <r>
      <t>CHETEK, CITY OF</t>
    </r>
    <r>
      <rPr>
        <vertAlign val="superscript"/>
        <sz val="11"/>
        <color theme="1"/>
        <rFont val="Calibri"/>
        <family val="2"/>
      </rPr>
      <t>2</t>
    </r>
  </si>
  <si>
    <r>
      <t>BALSAM LAKE, VILLAGE OF</t>
    </r>
    <r>
      <rPr>
        <vertAlign val="superscript"/>
        <sz val="11"/>
        <color theme="1"/>
        <rFont val="Calibri"/>
        <family val="2"/>
      </rPr>
      <t>2</t>
    </r>
  </si>
  <si>
    <r>
      <t>SPOONER, CITY OF</t>
    </r>
    <r>
      <rPr>
        <vertAlign val="superscript"/>
        <sz val="11"/>
        <color theme="1"/>
        <rFont val="Calibri"/>
        <family val="2"/>
      </rPr>
      <t>2</t>
    </r>
  </si>
  <si>
    <r>
      <rPr>
        <b/>
        <vertAlign val="superscript"/>
        <sz val="10"/>
        <color indexed="8"/>
        <rFont val="Arial"/>
        <family val="2"/>
      </rPr>
      <t xml:space="preserve">7 </t>
    </r>
    <r>
      <rPr>
        <sz val="10"/>
        <rFont val="Arial"/>
        <family val="2"/>
      </rPr>
      <t>Project is last on the funding list to be allocated principal forgiveness.  Project is allocated the remaining PF amount and may be eligible to receive more PF if it becomes available.</t>
    </r>
  </si>
  <si>
    <r>
      <rPr>
        <b/>
        <vertAlign val="superscript"/>
        <sz val="10"/>
        <color indexed="8"/>
        <rFont val="Arial"/>
        <family val="2"/>
      </rPr>
      <t xml:space="preserve">5 </t>
    </r>
    <r>
      <rPr>
        <sz val="10"/>
        <rFont val="Arial"/>
        <family val="2"/>
      </rPr>
      <t>The LSL interest rate is not tied to the current market interest rate, and is instead set at 0.25%</t>
    </r>
  </si>
  <si>
    <r>
      <t>Subsidized Loan Rate</t>
    </r>
    <r>
      <rPr>
        <b/>
        <vertAlign val="superscript"/>
        <sz val="11"/>
        <color theme="1"/>
        <rFont val="Calibri"/>
        <family val="2"/>
        <scheme val="minor"/>
      </rPr>
      <t>5</t>
    </r>
  </si>
  <si>
    <t>BIL-EC Project Costs</t>
  </si>
  <si>
    <t>Total Estimated PF</t>
  </si>
  <si>
    <t>MHI   (&lt;$53,664)</t>
  </si>
  <si>
    <r>
      <rPr>
        <b/>
        <vertAlign val="superscript"/>
        <sz val="10"/>
        <color indexed="8"/>
        <rFont val="Arial"/>
        <family val="2"/>
      </rPr>
      <t xml:space="preserve">3 </t>
    </r>
    <r>
      <rPr>
        <sz val="10"/>
        <rFont val="Arial"/>
        <family val="2"/>
      </rPr>
      <t>Financial Need Points are calculated at 15% of the PF points that are awarded in the "Total PF Points" column.</t>
    </r>
  </si>
  <si>
    <t>BIL-LSL Project Costs</t>
  </si>
  <si>
    <t>Wis. Stats 281.61 (8)(bL) mandates that in any biennium, no applicant may receive more than 25% of the amount of financial assistance planned to be provided for projects for that biennium. For the 2023-2025 biennium, the 25% limit is $55,600,000.</t>
  </si>
  <si>
    <r>
      <t>RIB MOUNTAIN SD</t>
    </r>
    <r>
      <rPr>
        <vertAlign val="superscript"/>
        <sz val="11"/>
        <rFont val="Calibri"/>
        <family val="2"/>
      </rPr>
      <t>1</t>
    </r>
  </si>
  <si>
    <r>
      <t>ADAMS, CITY OF</t>
    </r>
    <r>
      <rPr>
        <vertAlign val="superscript"/>
        <sz val="11"/>
        <color theme="1"/>
        <rFont val="Calibri"/>
        <family val="2"/>
      </rPr>
      <t>1</t>
    </r>
  </si>
  <si>
    <r>
      <t>ANTIGO, CITY OF</t>
    </r>
    <r>
      <rPr>
        <vertAlign val="superscript"/>
        <sz val="11"/>
        <color theme="1"/>
        <rFont val="Calibri"/>
        <family val="2"/>
      </rPr>
      <t>1</t>
    </r>
  </si>
  <si>
    <r>
      <t>ROTHSCHILD, VILLAGE OF</t>
    </r>
    <r>
      <rPr>
        <vertAlign val="superscript"/>
        <sz val="11"/>
        <color rgb="FF000000"/>
        <rFont val="Calibri"/>
        <family val="2"/>
      </rPr>
      <t>1</t>
    </r>
  </si>
  <si>
    <r>
      <t>ASHLAND, CITY OF</t>
    </r>
    <r>
      <rPr>
        <vertAlign val="superscript"/>
        <sz val="11"/>
        <color theme="1"/>
        <rFont val="Calibri"/>
        <family val="2"/>
      </rPr>
      <t>1</t>
    </r>
  </si>
  <si>
    <r>
      <t>BARABOO, CITY OF</t>
    </r>
    <r>
      <rPr>
        <vertAlign val="superscript"/>
        <sz val="11"/>
        <color theme="1"/>
        <rFont val="Calibri"/>
        <family val="2"/>
      </rPr>
      <t>1</t>
    </r>
  </si>
  <si>
    <r>
      <t>CEDARBURG, CITY OF</t>
    </r>
    <r>
      <rPr>
        <vertAlign val="superscript"/>
        <sz val="11"/>
        <color theme="1"/>
        <rFont val="Calibri"/>
        <family val="2"/>
      </rPr>
      <t>1</t>
    </r>
  </si>
  <si>
    <r>
      <t>CHIPPEWA FALLS, CITY OF</t>
    </r>
    <r>
      <rPr>
        <vertAlign val="superscript"/>
        <sz val="11"/>
        <color theme="1"/>
        <rFont val="Calibri"/>
        <family val="2"/>
      </rPr>
      <t>1</t>
    </r>
  </si>
  <si>
    <r>
      <t>DRESSER, VILLAGE OF</t>
    </r>
    <r>
      <rPr>
        <vertAlign val="superscript"/>
        <sz val="11"/>
        <color theme="1"/>
        <rFont val="Calibri"/>
        <family val="2"/>
      </rPr>
      <t>1</t>
    </r>
  </si>
  <si>
    <r>
      <t>EDGERTON, CITY OF</t>
    </r>
    <r>
      <rPr>
        <vertAlign val="superscript"/>
        <sz val="11"/>
        <color theme="1"/>
        <rFont val="Calibri"/>
        <family val="2"/>
      </rPr>
      <t>1</t>
    </r>
  </si>
  <si>
    <r>
      <t>ELKHORN, CITY OF</t>
    </r>
    <r>
      <rPr>
        <vertAlign val="superscript"/>
        <sz val="11"/>
        <color theme="1"/>
        <rFont val="Calibri"/>
        <family val="2"/>
      </rPr>
      <t>1</t>
    </r>
  </si>
  <si>
    <r>
      <t>EVANSVILLE, CITY OF</t>
    </r>
    <r>
      <rPr>
        <vertAlign val="superscript"/>
        <sz val="11"/>
        <color theme="1"/>
        <rFont val="Calibri"/>
        <family val="2"/>
      </rPr>
      <t>1</t>
    </r>
  </si>
  <si>
    <r>
      <t>LADYSMITH, CITY OF</t>
    </r>
    <r>
      <rPr>
        <vertAlign val="superscript"/>
        <sz val="11"/>
        <color theme="1"/>
        <rFont val="Calibri"/>
        <family val="2"/>
      </rPr>
      <t>1</t>
    </r>
  </si>
  <si>
    <r>
      <t>MONTREAL, CITY OF</t>
    </r>
    <r>
      <rPr>
        <vertAlign val="superscript"/>
        <sz val="11"/>
        <color theme="1"/>
        <rFont val="Calibri"/>
        <family val="2"/>
      </rPr>
      <t>1</t>
    </r>
  </si>
  <si>
    <r>
      <t>NEW LONDON, CITY OF</t>
    </r>
    <r>
      <rPr>
        <vertAlign val="superscript"/>
        <sz val="11"/>
        <color theme="1"/>
        <rFont val="Calibri"/>
        <family val="2"/>
      </rPr>
      <t>1</t>
    </r>
  </si>
  <si>
    <r>
      <t>OMRO, CITY OF</t>
    </r>
    <r>
      <rPr>
        <vertAlign val="superscript"/>
        <sz val="11"/>
        <color theme="1"/>
        <rFont val="Calibri"/>
        <family val="2"/>
      </rPr>
      <t>1</t>
    </r>
  </si>
  <si>
    <r>
      <t>PLATTEVILLE, CITY OF</t>
    </r>
    <r>
      <rPr>
        <vertAlign val="superscript"/>
        <sz val="11"/>
        <color theme="1"/>
        <rFont val="Calibri"/>
        <family val="2"/>
      </rPr>
      <t>1</t>
    </r>
  </si>
  <si>
    <r>
      <t>SCHOFIELD, CITY OF</t>
    </r>
    <r>
      <rPr>
        <vertAlign val="superscript"/>
        <sz val="11"/>
        <color theme="1"/>
        <rFont val="Calibri"/>
        <family val="2"/>
      </rPr>
      <t>1</t>
    </r>
  </si>
  <si>
    <r>
      <t>TWO RIVERS, CITY OF</t>
    </r>
    <r>
      <rPr>
        <vertAlign val="superscript"/>
        <sz val="11"/>
        <color theme="1"/>
        <rFont val="Calibri"/>
        <family val="2"/>
      </rPr>
      <t>1</t>
    </r>
  </si>
  <si>
    <r>
      <t>VIROQUA, CITY OF</t>
    </r>
    <r>
      <rPr>
        <vertAlign val="superscript"/>
        <sz val="11"/>
        <color theme="1"/>
        <rFont val="Calibri"/>
        <family val="2"/>
      </rPr>
      <t>1</t>
    </r>
  </si>
  <si>
    <r>
      <t>WASHBURN, CITY OF</t>
    </r>
    <r>
      <rPr>
        <vertAlign val="superscript"/>
        <sz val="11"/>
        <color rgb="FF000000"/>
        <rFont val="Calibri"/>
        <family val="2"/>
      </rPr>
      <t>1</t>
    </r>
  </si>
  <si>
    <r>
      <t>WAUPACA, CITY OF</t>
    </r>
    <r>
      <rPr>
        <vertAlign val="superscript"/>
        <sz val="11"/>
        <color theme="1"/>
        <rFont val="Calibri"/>
        <family val="2"/>
      </rPr>
      <t>1</t>
    </r>
  </si>
  <si>
    <r>
      <t>WEYAUWEGA, CITY OF</t>
    </r>
    <r>
      <rPr>
        <vertAlign val="superscript"/>
        <sz val="11"/>
        <color theme="1"/>
        <rFont val="Calibri"/>
        <family val="2"/>
      </rPr>
      <t>1</t>
    </r>
  </si>
  <si>
    <t>The Safe Drinking Water Act (SDWA) requires 15% of available funds to be allocated to systems serving a population of less than 10,000. This funding list allocates 63.6% of available funds to these systems.</t>
  </si>
  <si>
    <t>BIL-EC and BIL-LSL PF Estimate</t>
  </si>
  <si>
    <t>Submitted Date</t>
  </si>
  <si>
    <t>SUPPLEMENTAL APPLICATIONS-- Submitted after 06/30/23; not eligible for PF</t>
  </si>
  <si>
    <t xml:space="preserve">    Total General PF Available = $27,069,463</t>
  </si>
  <si>
    <r>
      <t>Project Points</t>
    </r>
    <r>
      <rPr>
        <b/>
        <vertAlign val="superscript"/>
        <sz val="11"/>
        <rFont val="Calibri"/>
        <family val="2"/>
        <scheme val="minor"/>
      </rPr>
      <t>4</t>
    </r>
  </si>
  <si>
    <r>
      <t>BIL-EC and BIL-LSL PF Estimate</t>
    </r>
    <r>
      <rPr>
        <b/>
        <vertAlign val="superscript"/>
        <sz val="11"/>
        <rFont val="Calibri"/>
        <family val="2"/>
        <scheme val="minor"/>
      </rPr>
      <t>6</t>
    </r>
  </si>
  <si>
    <r>
      <t>JUNCTION CITY, VILLAGE OF</t>
    </r>
    <r>
      <rPr>
        <vertAlign val="superscript"/>
        <sz val="11"/>
        <color theme="1"/>
        <rFont val="Calibri"/>
        <family val="2"/>
      </rPr>
      <t>7</t>
    </r>
  </si>
  <si>
    <r>
      <rPr>
        <b/>
        <vertAlign val="superscript"/>
        <sz val="10"/>
        <color indexed="8"/>
        <rFont val="Arial"/>
        <family val="2"/>
      </rPr>
      <t xml:space="preserve">6 </t>
    </r>
    <r>
      <rPr>
        <sz val="10"/>
        <rFont val="Arial"/>
        <family val="2"/>
      </rPr>
      <t>The BIL Principal Forgiveness column represents the amount of PF an applicant has been allocated through either the BIL--Emerging Contaminants Program or the BIL--Lead Service Line Program</t>
    </r>
  </si>
  <si>
    <r>
      <rPr>
        <b/>
        <vertAlign val="superscript"/>
        <sz val="10"/>
        <color indexed="8"/>
        <rFont val="Arial"/>
        <family val="2"/>
      </rPr>
      <t xml:space="preserve">2 </t>
    </r>
    <r>
      <rPr>
        <sz val="10"/>
        <rFont val="Arial"/>
        <family val="2"/>
      </rPr>
      <t>Municipalities allocated $1,600,000 in general PF; the maximum PF amount allowed for a single municipality.</t>
    </r>
  </si>
  <si>
    <t xml:space="preserve">    Total EC PF Available = $42,520,046</t>
  </si>
  <si>
    <r>
      <t>Financial Need Points</t>
    </r>
    <r>
      <rPr>
        <b/>
        <vertAlign val="superscript"/>
        <sz val="11"/>
        <color theme="1"/>
        <rFont val="Calibri"/>
        <family val="2"/>
        <scheme val="minor"/>
      </rPr>
      <t>4</t>
    </r>
  </si>
  <si>
    <r>
      <t>Project Points</t>
    </r>
    <r>
      <rPr>
        <b/>
        <vertAlign val="superscript"/>
        <sz val="11"/>
        <color theme="1"/>
        <rFont val="Calibri"/>
        <family val="2"/>
        <scheme val="minor"/>
      </rPr>
      <t>5</t>
    </r>
  </si>
  <si>
    <t>MHI (&lt;$53,664)</t>
  </si>
  <si>
    <t>Subsidized Loan Rate</t>
  </si>
  <si>
    <r>
      <t>Eligible PF %</t>
    </r>
    <r>
      <rPr>
        <b/>
        <vertAlign val="superscript"/>
        <sz val="11"/>
        <color theme="1"/>
        <rFont val="Calibri"/>
        <family val="2"/>
        <scheme val="minor"/>
      </rPr>
      <t>6</t>
    </r>
  </si>
  <si>
    <t>BIL-EC PF Estimate</t>
  </si>
  <si>
    <t>Treat Well #4 for PFAS</t>
  </si>
  <si>
    <r>
      <t>RIB MOUNTAIN SD</t>
    </r>
    <r>
      <rPr>
        <vertAlign val="superscript"/>
        <sz val="11"/>
        <rFont val="Calibri"/>
        <family val="2"/>
      </rPr>
      <t>1,2</t>
    </r>
  </si>
  <si>
    <t xml:space="preserve">Install Permanent Treatment for PFAS, Iron and Manganese </t>
  </si>
  <si>
    <r>
      <t>WAUSAU, CITY OF</t>
    </r>
    <r>
      <rPr>
        <vertAlign val="superscript"/>
        <sz val="11"/>
        <color theme="1"/>
        <rFont val="Calibri"/>
        <family val="2"/>
      </rPr>
      <t>1,2,3</t>
    </r>
  </si>
  <si>
    <t>Construct GAC Treatment System for PFAS</t>
  </si>
  <si>
    <t>Interim Treatment for PFAS</t>
  </si>
  <si>
    <r>
      <t>ROTHSCHILD, VILLAGE OF</t>
    </r>
    <r>
      <rPr>
        <vertAlign val="superscript"/>
        <sz val="11"/>
        <color rgb="FF000000"/>
        <rFont val="Calibri"/>
        <family val="2"/>
      </rPr>
      <t>1,2</t>
    </r>
  </si>
  <si>
    <t>Construct Treatment Facility for PFAS</t>
  </si>
  <si>
    <t>Treat Well #15 for PFAS</t>
  </si>
  <si>
    <r>
      <t>EAU CLAIRE, CITY OF</t>
    </r>
    <r>
      <rPr>
        <vertAlign val="superscript"/>
        <sz val="11"/>
        <color rgb="FF000000"/>
        <rFont val="Calibri"/>
        <family val="2"/>
      </rPr>
      <t>1,2</t>
    </r>
  </si>
  <si>
    <t>Treat PFAS at WTP</t>
  </si>
  <si>
    <t>Treat Wells #4, #11 and #12 for PFAS</t>
  </si>
  <si>
    <r>
      <rPr>
        <b/>
        <vertAlign val="superscript"/>
        <sz val="10"/>
        <color indexed="8"/>
        <rFont val="Arial"/>
        <family val="2"/>
      </rPr>
      <t xml:space="preserve">2 </t>
    </r>
    <r>
      <rPr>
        <sz val="10"/>
        <rFont val="Arial"/>
        <family val="2"/>
      </rPr>
      <t>Municipalities allocated $3,500,000 in PF - the maximum PF amount allowed for a single municipality.</t>
    </r>
  </si>
  <si>
    <r>
      <rPr>
        <b/>
        <vertAlign val="superscript"/>
        <sz val="10"/>
        <color indexed="8"/>
        <rFont val="Arial"/>
        <family val="2"/>
      </rPr>
      <t xml:space="preserve">3 </t>
    </r>
    <r>
      <rPr>
        <sz val="10"/>
        <rFont val="Arial"/>
        <family val="2"/>
      </rPr>
      <t xml:space="preserve">Project will be funded through BIL EC-SDC funding </t>
    </r>
  </si>
  <si>
    <r>
      <rPr>
        <b/>
        <vertAlign val="superscript"/>
        <sz val="10"/>
        <color indexed="8"/>
        <rFont val="Arial"/>
        <family val="2"/>
      </rPr>
      <t xml:space="preserve">4 </t>
    </r>
    <r>
      <rPr>
        <sz val="10"/>
        <rFont val="Arial"/>
        <family val="2"/>
      </rPr>
      <t>Financial Need Points are calculated at 50% of the PF points awarded in the Total PF Points column.</t>
    </r>
  </si>
  <si>
    <r>
      <rPr>
        <b/>
        <vertAlign val="superscript"/>
        <sz val="10"/>
        <color indexed="8"/>
        <rFont val="Arial"/>
        <family val="2"/>
      </rPr>
      <t xml:space="preserve">5 </t>
    </r>
    <r>
      <rPr>
        <sz val="10"/>
        <rFont val="Arial"/>
        <family val="2"/>
      </rPr>
      <t>Project Points represent the number of priority points that were calculated through the PERF score.  This score now excludes any points based off of financial need.</t>
    </r>
  </si>
  <si>
    <r>
      <rPr>
        <b/>
        <vertAlign val="superscript"/>
        <sz val="10"/>
        <color indexed="8"/>
        <rFont val="Arial"/>
        <family val="2"/>
      </rPr>
      <t xml:space="preserve">6 </t>
    </r>
    <r>
      <rPr>
        <sz val="10"/>
        <rFont val="Arial"/>
        <family val="2"/>
      </rPr>
      <t>SFY24 emerging contaminants applicants qualify for principal forgiveness at a rate equivalent to the applicant's general PF percentage, or a flat rate of 50% principal forgiveness, whichever is higher</t>
    </r>
  </si>
  <si>
    <t>WI MHI = $67,080</t>
  </si>
  <si>
    <t xml:space="preserve">    Total BIL-LSL PF Available = $65,263,858</t>
  </si>
  <si>
    <r>
      <t>LSL Priority Score</t>
    </r>
    <r>
      <rPr>
        <b/>
        <vertAlign val="superscript"/>
        <sz val="11"/>
        <color theme="1"/>
        <rFont val="Calibri"/>
        <family val="2"/>
        <scheme val="minor"/>
      </rPr>
      <t>3</t>
    </r>
  </si>
  <si>
    <t>Total Requested Costs in Application</t>
  </si>
  <si>
    <t>Private Side</t>
  </si>
  <si>
    <t>Remaining Costs</t>
  </si>
  <si>
    <t>Total PF Awarded</t>
  </si>
  <si>
    <t>Base Program Funding Reduction</t>
  </si>
  <si>
    <t>Requested Private Side Project Costs</t>
  </si>
  <si>
    <r>
      <t>Eligible PF %</t>
    </r>
    <r>
      <rPr>
        <b/>
        <vertAlign val="superscript"/>
        <sz val="11"/>
        <rFont val="Calibri"/>
        <family val="2"/>
        <scheme val="minor"/>
      </rPr>
      <t>4</t>
    </r>
  </si>
  <si>
    <t>Private Side PF Estimate</t>
  </si>
  <si>
    <t>Requested Remaining Project Costs</t>
  </si>
  <si>
    <r>
      <t>Eligible PF %</t>
    </r>
    <r>
      <rPr>
        <b/>
        <vertAlign val="superscript"/>
        <sz val="11"/>
        <rFont val="Calibri"/>
        <family val="2"/>
        <scheme val="minor"/>
      </rPr>
      <t>5</t>
    </r>
  </si>
  <si>
    <t>Remaining Costs PF Estimate</t>
  </si>
  <si>
    <t>Requested Other Project costs</t>
  </si>
  <si>
    <t>Remaining PF Estimate</t>
  </si>
  <si>
    <t>Municipal</t>
  </si>
  <si>
    <r>
      <t>MILWAUKEE, CITY OF</t>
    </r>
    <r>
      <rPr>
        <vertAlign val="superscript"/>
        <sz val="11"/>
        <color theme="1"/>
        <rFont val="Calibri"/>
        <family val="2"/>
      </rPr>
      <t>1</t>
    </r>
  </si>
  <si>
    <t>Census Tract</t>
  </si>
  <si>
    <r>
      <t>SPOONER, CITY OF</t>
    </r>
    <r>
      <rPr>
        <vertAlign val="superscript"/>
        <sz val="11"/>
        <color theme="1"/>
        <rFont val="Calibri"/>
        <family val="2"/>
      </rPr>
      <t>1</t>
    </r>
  </si>
  <si>
    <t>Census Tract 123</t>
  </si>
  <si>
    <t>Census Tract 122</t>
  </si>
  <si>
    <t>Census Tracts</t>
  </si>
  <si>
    <t>SUPPLEMENTAL APPLICATIONS</t>
  </si>
  <si>
    <t xml:space="preserve">Census Tracts--Oakwood &amp; Grove </t>
  </si>
  <si>
    <r>
      <rPr>
        <b/>
        <vertAlign val="superscript"/>
        <sz val="10"/>
        <color indexed="8"/>
        <rFont val="Arial"/>
        <family val="2"/>
      </rPr>
      <t xml:space="preserve">2 </t>
    </r>
    <r>
      <rPr>
        <sz val="10"/>
        <rFont val="Arial"/>
        <family val="2"/>
      </rPr>
      <t>Project is the last one on the funding list to be allocated principal forgiveness for costs other than private-side replacements.  Project is allocated the remaining PF amount and may be eligible to receive more PF if it becomes available.</t>
    </r>
  </si>
  <si>
    <r>
      <rPr>
        <b/>
        <vertAlign val="superscript"/>
        <sz val="10"/>
        <color indexed="8"/>
        <rFont val="Arial"/>
        <family val="2"/>
      </rPr>
      <t xml:space="preserve">3 </t>
    </r>
    <r>
      <rPr>
        <sz val="10"/>
        <rFont val="Arial"/>
        <family val="2"/>
      </rPr>
      <t>The LSL Priority Score is based off of the scoring outlined in the LSL-Specific PERF, and is outlined on page 20 of the SFY24 SDWLP Intended Use Plan</t>
    </r>
  </si>
  <si>
    <r>
      <rPr>
        <b/>
        <vertAlign val="superscript"/>
        <sz val="10"/>
        <rFont val="Arial"/>
        <family val="2"/>
      </rPr>
      <t xml:space="preserve">4 </t>
    </r>
    <r>
      <rPr>
        <sz val="10"/>
        <rFont val="Arial"/>
        <family val="2"/>
      </rPr>
      <t>Private-side principal forgiveness is calculated per the method described in the LSL amendment to the SFY24 SDWLP Intended Use Plan</t>
    </r>
  </si>
  <si>
    <r>
      <rPr>
        <b/>
        <vertAlign val="superscript"/>
        <sz val="10"/>
        <color indexed="8"/>
        <rFont val="Arial"/>
        <family val="2"/>
      </rPr>
      <t xml:space="preserve">5 </t>
    </r>
    <r>
      <rPr>
        <sz val="10"/>
        <rFont val="Arial"/>
        <family val="2"/>
      </rPr>
      <t>Public-side principal forgiveness is calculated in a similar manner as general principal forgiveness, as described on page 14 of the SFY24 SDWLP Intended Use Plan</t>
    </r>
  </si>
  <si>
    <r>
      <t>AUGUSTA, CITY OF</t>
    </r>
    <r>
      <rPr>
        <vertAlign val="superscript"/>
        <sz val="11"/>
        <color theme="1"/>
        <rFont val="Calibri"/>
        <family val="2"/>
      </rPr>
      <t>8</t>
    </r>
  </si>
  <si>
    <t>5186-10</t>
  </si>
  <si>
    <t>Abandon Well No. 7  (Phase 2: Construct Well No. 11)</t>
  </si>
  <si>
    <t>5186-09</t>
  </si>
  <si>
    <t>Replace WM on Pease St</t>
  </si>
  <si>
    <t>5186-12</t>
  </si>
  <si>
    <t>Well No. 9 Sewer Lining</t>
  </si>
  <si>
    <r>
      <rPr>
        <b/>
        <vertAlign val="superscript"/>
        <sz val="10"/>
        <color indexed="8"/>
        <rFont val="Arial"/>
        <family val="2"/>
      </rPr>
      <t xml:space="preserve">8 </t>
    </r>
    <r>
      <rPr>
        <sz val="10"/>
        <rFont val="Arial"/>
        <family val="2"/>
      </rPr>
      <t>Phased project that hit the PF cap in a previous fiscal year</t>
    </r>
  </si>
  <si>
    <t>ELKHORN, CITY OF</t>
  </si>
  <si>
    <t>CHIPPEWA FALLS, CITY OF</t>
  </si>
  <si>
    <t>PLATTEVILLE, CITY OF</t>
  </si>
  <si>
    <t>CEDARBURG, CITY OF</t>
  </si>
  <si>
    <t>PORT WASHINGTON, CITY OF</t>
  </si>
  <si>
    <t>5452-04</t>
  </si>
  <si>
    <t>Construct Well #8; Abandon Wells #1 and #2</t>
  </si>
  <si>
    <t>5452-07</t>
  </si>
  <si>
    <t>Replace WM on Concord Rd</t>
  </si>
  <si>
    <t>BIL SFY24 LSL Program: Census Tract</t>
  </si>
  <si>
    <t>BIL SFY24 LSL Program - Census Tracts 4, 5, 7 &amp; 8</t>
  </si>
  <si>
    <t>BIL SFY24 LSL Program - Census Tracts 6 &amp; 8</t>
  </si>
  <si>
    <t>Census Tracts 5 &amp; 7</t>
  </si>
  <si>
    <t>Census Tracts 9, 10, 11, 12, 16 &amp; 18</t>
  </si>
  <si>
    <t>Census Tracts 6 &amp; 8</t>
  </si>
  <si>
    <t>Census Tracts 4, 5, 7 &amp; 8</t>
  </si>
  <si>
    <t>Census Tracts 1702, 1705 &amp;1706</t>
  </si>
  <si>
    <t>Census Tracts 1701, 1703 &amp; 1707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</si>
</sst>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m/dd/yy;@"/>
  </numFmts>
  <fonts count="39" x14ac:knownFonts="1">
    <font>
      <sz val="10"/>
      <name val="Arial"/>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i/>
      <sz val="11"/>
      <color theme="1"/>
      <name val="Calibri"/>
      <family val="2"/>
      <scheme val="minor"/>
    </font>
    <font>
      <b/>
      <sz val="11"/>
      <name val="Calibri"/>
      <family val="2"/>
      <scheme val="minor"/>
    </font>
    <font>
      <b/>
      <vertAlign val="superscript"/>
      <sz val="10"/>
      <color indexed="8"/>
      <name val="Arial"/>
      <family val="2"/>
    </font>
    <font>
      <sz val="11"/>
      <name val="Calibri"/>
      <family val="2"/>
    </font>
    <font>
      <sz val="11"/>
      <color theme="1"/>
      <name val="Calibri"/>
      <family val="2"/>
    </font>
    <font>
      <b/>
      <sz val="10"/>
      <name val="Arial"/>
      <family val="2"/>
    </font>
    <font>
      <b/>
      <sz val="11"/>
      <color rgb="FFFF0000"/>
      <name val="Calibri"/>
      <family val="2"/>
      <scheme val="minor"/>
    </font>
    <font>
      <b/>
      <vertAlign val="superscript"/>
      <sz val="11"/>
      <color theme="1"/>
      <name val="Calibri"/>
      <family val="2"/>
      <scheme val="minor"/>
    </font>
    <font>
      <sz val="10"/>
      <color rgb="FFFF0000"/>
      <name val="Arial"/>
      <family val="2"/>
    </font>
    <font>
      <sz val="11"/>
      <color indexed="8"/>
      <name val="Calibri"/>
      <family val="2"/>
    </font>
    <font>
      <sz val="11"/>
      <name val="Calibri"/>
      <family val="2"/>
      <scheme val="minor"/>
    </font>
    <font>
      <sz val="11"/>
      <color rgb="FF000000"/>
      <name val="Calibri"/>
      <family val="2"/>
    </font>
    <font>
      <i/>
      <sz val="11"/>
      <color theme="1"/>
      <name val="Calibri"/>
      <family val="2"/>
    </font>
    <font>
      <b/>
      <sz val="11"/>
      <color theme="4" tint="-0.249977111117893"/>
      <name val="Calibri"/>
      <family val="2"/>
      <scheme val="minor"/>
    </font>
    <font>
      <sz val="10"/>
      <color theme="4" tint="-0.249977111117893"/>
      <name val="Arial"/>
      <family val="2"/>
    </font>
    <font>
      <vertAlign val="superscript"/>
      <sz val="11"/>
      <color theme="1"/>
      <name val="Calibri"/>
      <family val="2"/>
    </font>
    <font>
      <vertAlign val="superscript"/>
      <sz val="11"/>
      <color rgb="FF000000"/>
      <name val="Calibri"/>
      <family val="2"/>
    </font>
    <font>
      <b/>
      <sz val="11"/>
      <color rgb="FF7030A0"/>
      <name val="Calibri"/>
      <family val="2"/>
      <scheme val="minor"/>
    </font>
    <font>
      <b/>
      <sz val="11"/>
      <color rgb="FF7030A0"/>
      <name val="Calibri"/>
      <family val="2"/>
    </font>
    <font>
      <sz val="11"/>
      <color rgb="FF7030A0"/>
      <name val="Calibri"/>
      <family val="2"/>
    </font>
    <font>
      <b/>
      <sz val="10"/>
      <color rgb="FF7030A0"/>
      <name val="Arial"/>
      <family val="2"/>
    </font>
    <font>
      <b/>
      <i/>
      <sz val="11"/>
      <color rgb="FF7030A0"/>
      <name val="Calibri"/>
      <family val="2"/>
      <scheme val="minor"/>
    </font>
    <font>
      <vertAlign val="superscript"/>
      <sz val="11"/>
      <name val="Calibri"/>
      <family val="2"/>
    </font>
    <font>
      <b/>
      <vertAlign val="superscript"/>
      <sz val="11"/>
      <name val="Calibri"/>
      <family val="2"/>
      <scheme val="minor"/>
    </font>
    <font>
      <sz val="10"/>
      <color rgb="FF7030A0"/>
      <name val="Arial"/>
      <family val="2"/>
    </font>
    <font>
      <b/>
      <i/>
      <sz val="11"/>
      <name val="Calibri"/>
      <family val="2"/>
      <scheme val="minor"/>
    </font>
    <font>
      <b/>
      <sz val="10"/>
      <color theme="3" tint="-0.249977111117893"/>
      <name val="Arial"/>
      <family val="2"/>
    </font>
    <font>
      <b/>
      <sz val="11"/>
      <name val="Arial"/>
      <family val="2"/>
    </font>
    <font>
      <sz val="11"/>
      <color theme="3" tint="-0.249977111117893"/>
      <name val="Calibri"/>
      <family val="2"/>
    </font>
    <font>
      <b/>
      <i/>
      <sz val="11"/>
      <color theme="3" tint="-0.249977111117893"/>
      <name val="Calibri"/>
      <family val="2"/>
      <scheme val="minor"/>
    </font>
    <font>
      <b/>
      <sz val="11"/>
      <color theme="3" tint="-0.249977111117893"/>
      <name val="Calibri"/>
      <family val="2"/>
    </font>
    <font>
      <b/>
      <vertAlign val="superscript"/>
      <sz val="10"/>
      <name val="Arial"/>
      <family val="2"/>
    </font>
    <font>
      <sz val="10.5"/>
      <name val="Arial"/>
      <family val="2"/>
    </font>
    <font>
      <i/>
      <sz val="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
    <xf numFmtId="0" fontId="0" fillId="0" borderId="0" applyAlignment="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55">
    <xf numFmtId="0" fontId="0" fillId="0" borderId="0" xfId="0"/>
    <xf numFmtId="9" fontId="0" fillId="2" borderId="0" xfId="2" applyFont="1" applyFill="1" applyBorder="1" applyAlignment="1">
      <alignment horizontal="center"/>
    </xf>
    <xf numFmtId="0" fontId="0" fillId="0" borderId="1" xfId="0" applyBorder="1"/>
    <xf numFmtId="0" fontId="0" fillId="0" borderId="0" xfId="0" applyAlignment="1">
      <alignment horizontal="center"/>
    </xf>
    <xf numFmtId="3" fontId="0" fillId="0" borderId="0" xfId="0" applyNumberFormat="1" applyAlignment="1">
      <alignment horizontal="center"/>
    </xf>
    <xf numFmtId="164" fontId="0" fillId="0" borderId="0" xfId="1" applyNumberFormat="1" applyFont="1" applyAlignment="1">
      <alignment horizontal="center"/>
    </xf>
    <xf numFmtId="9" fontId="0" fillId="0" borderId="0" xfId="2" applyFont="1" applyAlignment="1">
      <alignment horizontal="center"/>
    </xf>
    <xf numFmtId="0" fontId="0" fillId="0" borderId="1" xfId="0" applyFill="1" applyBorder="1" applyAlignment="1">
      <alignment horizontal="center"/>
    </xf>
    <xf numFmtId="0" fontId="0" fillId="0" borderId="0" xfId="0" applyFill="1"/>
    <xf numFmtId="0" fontId="0" fillId="2" borderId="0" xfId="0" applyFill="1" applyBorder="1"/>
    <xf numFmtId="0" fontId="0" fillId="2" borderId="0" xfId="0" applyFill="1" applyBorder="1" applyAlignment="1">
      <alignment horizontal="center"/>
    </xf>
    <xf numFmtId="3" fontId="0" fillId="2" borderId="0" xfId="0" applyNumberFormat="1" applyFill="1" applyBorder="1" applyAlignment="1">
      <alignment horizontal="center"/>
    </xf>
    <xf numFmtId="164" fontId="5" fillId="2" borderId="1" xfId="1" applyNumberFormat="1" applyFont="1" applyFill="1" applyBorder="1" applyAlignment="1">
      <alignment horizontal="center"/>
    </xf>
    <xf numFmtId="0" fontId="3" fillId="2" borderId="2" xfId="0" applyFont="1" applyFill="1" applyBorder="1" applyAlignment="1">
      <alignment horizontal="center" wrapText="1"/>
    </xf>
    <xf numFmtId="0" fontId="3" fillId="2" borderId="2" xfId="0" applyFont="1" applyFill="1" applyBorder="1"/>
    <xf numFmtId="0" fontId="3" fillId="2" borderId="2" xfId="0" applyFont="1" applyFill="1" applyBorder="1" applyAlignment="1">
      <alignment horizontal="center"/>
    </xf>
    <xf numFmtId="3" fontId="3" fillId="2" borderId="2" xfId="0" applyNumberFormat="1" applyFont="1" applyFill="1" applyBorder="1" applyAlignment="1">
      <alignment horizontal="center"/>
    </xf>
    <xf numFmtId="164" fontId="3" fillId="2" borderId="2" xfId="1" applyNumberFormat="1" applyFont="1" applyFill="1" applyBorder="1" applyAlignment="1">
      <alignment horizontal="center" wrapText="1"/>
    </xf>
    <xf numFmtId="9" fontId="3" fillId="2" borderId="2" xfId="2" applyFont="1" applyFill="1" applyBorder="1" applyAlignment="1">
      <alignment horizontal="center" wrapText="1"/>
    </xf>
    <xf numFmtId="0" fontId="0" fillId="2" borderId="3" xfId="0" applyFill="1" applyBorder="1"/>
    <xf numFmtId="0" fontId="0" fillId="2" borderId="3" xfId="0" applyFill="1" applyBorder="1" applyAlignment="1">
      <alignment horizontal="center"/>
    </xf>
    <xf numFmtId="3" fontId="0" fillId="2" borderId="3" xfId="0" applyNumberFormat="1" applyFill="1" applyBorder="1" applyAlignment="1">
      <alignment horizontal="center"/>
    </xf>
    <xf numFmtId="164" fontId="0" fillId="2" borderId="3" xfId="1" applyNumberFormat="1" applyFont="1" applyFill="1" applyBorder="1" applyAlignment="1">
      <alignment horizontal="center"/>
    </xf>
    <xf numFmtId="9" fontId="5" fillId="2" borderId="3" xfId="2" applyFont="1" applyFill="1" applyBorder="1" applyAlignment="1">
      <alignment horizontal="center"/>
    </xf>
    <xf numFmtId="0" fontId="0" fillId="0" borderId="0" xfId="0" applyFill="1" applyBorder="1"/>
    <xf numFmtId="0" fontId="0" fillId="0" borderId="0" xfId="0" applyBorder="1"/>
    <xf numFmtId="164" fontId="13" fillId="2" borderId="0" xfId="1" applyNumberFormat="1" applyFont="1" applyFill="1" applyBorder="1" applyAlignment="1">
      <alignment horizontal="center"/>
    </xf>
    <xf numFmtId="164" fontId="11" fillId="2" borderId="0" xfId="1" applyNumberFormat="1" applyFont="1" applyFill="1" applyBorder="1" applyAlignment="1">
      <alignment horizontal="left"/>
    </xf>
    <xf numFmtId="0" fontId="9" fillId="0" borderId="1" xfId="0" applyFont="1" applyBorder="1" applyAlignment="1"/>
    <xf numFmtId="9" fontId="0" fillId="0" borderId="1" xfId="2" applyFont="1" applyFill="1" applyBorder="1"/>
    <xf numFmtId="9" fontId="9" fillId="0" borderId="1" xfId="2" applyFont="1" applyBorder="1" applyAlignment="1"/>
    <xf numFmtId="0" fontId="15" fillId="0" borderId="1" xfId="0" applyFont="1" applyFill="1" applyBorder="1" applyAlignment="1">
      <alignment horizontal="center"/>
    </xf>
    <xf numFmtId="9" fontId="15" fillId="0" borderId="1" xfId="2" applyFont="1" applyFill="1" applyBorder="1"/>
    <xf numFmtId="0" fontId="15" fillId="0" borderId="0" xfId="0" applyFont="1" applyFill="1"/>
    <xf numFmtId="164" fontId="9" fillId="0" borderId="1" xfId="1" applyNumberFormat="1" applyFont="1" applyBorder="1" applyAlignment="1"/>
    <xf numFmtId="164" fontId="16" fillId="0" borderId="1" xfId="1" applyNumberFormat="1" applyFont="1" applyBorder="1"/>
    <xf numFmtId="165" fontId="16" fillId="0" borderId="1" xfId="3" applyNumberFormat="1" applyFont="1" applyBorder="1" applyAlignment="1">
      <alignment horizontal="right" vertical="center" readingOrder="1"/>
    </xf>
    <xf numFmtId="0" fontId="9" fillId="0" borderId="1" xfId="0" applyFont="1" applyFill="1" applyBorder="1" applyAlignment="1"/>
    <xf numFmtId="165" fontId="9" fillId="0" borderId="1" xfId="3" applyNumberFormat="1" applyFont="1" applyFill="1" applyBorder="1" applyAlignment="1"/>
    <xf numFmtId="164" fontId="9" fillId="0" borderId="1" xfId="1" applyNumberFormat="1" applyFont="1" applyFill="1" applyBorder="1" applyAlignment="1"/>
    <xf numFmtId="165" fontId="16" fillId="0" borderId="1" xfId="3" applyNumberFormat="1" applyFont="1" applyFill="1" applyBorder="1" applyAlignment="1">
      <alignment horizontal="right" vertical="center" readingOrder="1"/>
    </xf>
    <xf numFmtId="164" fontId="16" fillId="0" borderId="1" xfId="0" applyNumberFormat="1" applyFont="1" applyFill="1" applyBorder="1"/>
    <xf numFmtId="164" fontId="16" fillId="0" borderId="1" xfId="1" applyNumberFormat="1" applyFont="1" applyFill="1" applyBorder="1"/>
    <xf numFmtId="0" fontId="3" fillId="2" borderId="2" xfId="0" applyFont="1" applyFill="1" applyBorder="1" applyAlignment="1">
      <alignment wrapText="1"/>
    </xf>
    <xf numFmtId="164" fontId="6" fillId="2" borderId="0" xfId="1" applyNumberFormat="1" applyFont="1" applyFill="1" applyBorder="1" applyAlignment="1">
      <alignment horizontal="left"/>
    </xf>
    <xf numFmtId="0" fontId="8" fillId="0" borderId="1" xfId="0" applyFont="1" applyFill="1" applyBorder="1" applyAlignment="1"/>
    <xf numFmtId="0" fontId="14" fillId="0" borderId="1" xfId="0" applyFont="1" applyFill="1" applyBorder="1"/>
    <xf numFmtId="0" fontId="0" fillId="0" borderId="1" xfId="0" applyFont="1" applyFill="1" applyBorder="1"/>
    <xf numFmtId="165" fontId="14" fillId="0" borderId="1" xfId="3" applyNumberFormat="1" applyFont="1" applyFill="1" applyBorder="1"/>
    <xf numFmtId="164" fontId="14" fillId="0" borderId="1" xfId="1" applyNumberFormat="1" applyFont="1" applyFill="1" applyBorder="1"/>
    <xf numFmtId="164" fontId="9" fillId="0" borderId="1" xfId="0" applyNumberFormat="1" applyFont="1" applyBorder="1" applyAlignment="1"/>
    <xf numFmtId="164" fontId="9" fillId="0" borderId="1" xfId="0" applyNumberFormat="1" applyFont="1" applyFill="1" applyBorder="1" applyAlignment="1"/>
    <xf numFmtId="10" fontId="17" fillId="0" borderId="1" xfId="2" applyNumberFormat="1" applyFont="1" applyFill="1" applyBorder="1" applyAlignment="1">
      <alignment horizontal="right"/>
    </xf>
    <xf numFmtId="0" fontId="0" fillId="0" borderId="1" xfId="0" applyFont="1" applyBorder="1" applyAlignment="1"/>
    <xf numFmtId="0" fontId="0" fillId="0" borderId="1" xfId="0" applyFont="1" applyFill="1" applyBorder="1" applyAlignment="1"/>
    <xf numFmtId="0" fontId="10" fillId="0" borderId="3" xfId="0" applyFont="1" applyBorder="1"/>
    <xf numFmtId="9" fontId="0" fillId="0" borderId="4" xfId="2" applyFont="1" applyFill="1" applyBorder="1" applyAlignment="1">
      <alignment horizontal="center"/>
    </xf>
    <xf numFmtId="9" fontId="0" fillId="0" borderId="0" xfId="2" applyFont="1" applyFill="1" applyBorder="1" applyAlignment="1">
      <alignment horizontal="center"/>
    </xf>
    <xf numFmtId="9" fontId="3" fillId="0" borderId="2" xfId="2" applyFont="1" applyFill="1" applyBorder="1" applyAlignment="1">
      <alignment horizontal="center" wrapText="1"/>
    </xf>
    <xf numFmtId="164" fontId="18" fillId="2" borderId="0" xfId="1" applyNumberFormat="1" applyFont="1" applyFill="1" applyBorder="1" applyAlignment="1">
      <alignment horizontal="left"/>
    </xf>
    <xf numFmtId="164" fontId="19" fillId="0" borderId="0" xfId="1" applyNumberFormat="1" applyFont="1" applyAlignment="1">
      <alignment horizontal="center"/>
    </xf>
    <xf numFmtId="164" fontId="10" fillId="0" borderId="0" xfId="1" applyNumberFormat="1" applyFont="1" applyAlignment="1">
      <alignment horizontal="center"/>
    </xf>
    <xf numFmtId="9" fontId="0" fillId="0" borderId="2" xfId="2" applyFont="1" applyFill="1" applyBorder="1"/>
    <xf numFmtId="0" fontId="0" fillId="0" borderId="1" xfId="0" applyFill="1" applyBorder="1"/>
    <xf numFmtId="164" fontId="4" fillId="0" borderId="0" xfId="1" applyNumberFormat="1" applyFont="1" applyAlignment="1">
      <alignment horizontal="center"/>
    </xf>
    <xf numFmtId="164" fontId="6" fillId="2" borderId="1" xfId="1" applyNumberFormat="1" applyFont="1" applyFill="1" applyBorder="1" applyAlignment="1">
      <alignment horizontal="center" wrapText="1"/>
    </xf>
    <xf numFmtId="164" fontId="22" fillId="2" borderId="2" xfId="1" applyNumberFormat="1" applyFont="1" applyFill="1" applyBorder="1" applyAlignment="1">
      <alignment horizontal="center" wrapText="1"/>
    </xf>
    <xf numFmtId="164" fontId="23" fillId="0" borderId="1" xfId="1" applyNumberFormat="1" applyFont="1" applyBorder="1" applyAlignment="1"/>
    <xf numFmtId="164" fontId="23" fillId="0" borderId="1" xfId="1" applyNumberFormat="1" applyFont="1" applyFill="1" applyBorder="1" applyAlignment="1"/>
    <xf numFmtId="164" fontId="23" fillId="0" borderId="1" xfId="1" applyNumberFormat="1" applyFont="1" applyFill="1" applyBorder="1"/>
    <xf numFmtId="9" fontId="4" fillId="2" borderId="0" xfId="2" applyFont="1" applyFill="1" applyBorder="1" applyAlignment="1">
      <alignment horizontal="center"/>
    </xf>
    <xf numFmtId="9" fontId="6" fillId="2" borderId="2" xfId="2" applyFont="1" applyFill="1" applyBorder="1" applyAlignment="1">
      <alignment horizontal="center" wrapText="1"/>
    </xf>
    <xf numFmtId="164" fontId="6" fillId="2" borderId="2" xfId="1" applyNumberFormat="1" applyFont="1" applyFill="1" applyBorder="1" applyAlignment="1">
      <alignment horizontal="center" wrapText="1"/>
    </xf>
    <xf numFmtId="164" fontId="4" fillId="0" borderId="1" xfId="1" applyNumberFormat="1" applyFont="1" applyFill="1" applyBorder="1" applyAlignment="1">
      <alignment horizontal="center"/>
    </xf>
    <xf numFmtId="164" fontId="4" fillId="0" borderId="1" xfId="1" applyNumberFormat="1" applyFont="1" applyFill="1" applyBorder="1"/>
    <xf numFmtId="9" fontId="4" fillId="0" borderId="0" xfId="2" applyFont="1" applyAlignment="1">
      <alignment horizontal="center"/>
    </xf>
    <xf numFmtId="0" fontId="8" fillId="0" borderId="1" xfId="0" applyFont="1" applyFill="1" applyBorder="1"/>
    <xf numFmtId="164" fontId="22" fillId="2" borderId="0" xfId="1" applyNumberFormat="1" applyFont="1" applyFill="1" applyBorder="1" applyAlignment="1">
      <alignment horizontal="left"/>
    </xf>
    <xf numFmtId="3" fontId="23" fillId="0" borderId="1" xfId="0" applyNumberFormat="1" applyFont="1" applyBorder="1" applyAlignment="1"/>
    <xf numFmtId="164" fontId="25" fillId="0" borderId="0" xfId="1" applyNumberFormat="1" applyFont="1" applyAlignment="1">
      <alignment horizontal="center"/>
    </xf>
    <xf numFmtId="164" fontId="15" fillId="0" borderId="1" xfId="1" applyNumberFormat="1" applyFont="1" applyFill="1" applyBorder="1"/>
    <xf numFmtId="164" fontId="8" fillId="0" borderId="1" xfId="1" applyNumberFormat="1" applyFont="1" applyFill="1" applyBorder="1" applyAlignment="1"/>
    <xf numFmtId="164" fontId="8" fillId="0" borderId="1" xfId="1" applyNumberFormat="1" applyFont="1" applyFill="1" applyBorder="1"/>
    <xf numFmtId="164" fontId="26" fillId="2" borderId="1" xfId="1" applyNumberFormat="1" applyFont="1" applyFill="1" applyBorder="1" applyAlignment="1">
      <alignment horizontal="center"/>
    </xf>
    <xf numFmtId="3" fontId="23" fillId="0" borderId="1" xfId="0" applyNumberFormat="1" applyFont="1" applyFill="1" applyBorder="1" applyAlignment="1"/>
    <xf numFmtId="14" fontId="0" fillId="0" borderId="1" xfId="0" applyNumberFormat="1" applyFont="1" applyFill="1" applyBorder="1" applyAlignment="1">
      <alignment horizontal="center"/>
    </xf>
    <xf numFmtId="0" fontId="14" fillId="0" borderId="1" xfId="0" applyFont="1" applyFill="1" applyBorder="1" applyAlignment="1"/>
    <xf numFmtId="164" fontId="24" fillId="0" borderId="1" xfId="1" applyNumberFormat="1" applyFont="1" applyFill="1" applyBorder="1" applyAlignment="1"/>
    <xf numFmtId="0" fontId="0" fillId="0" borderId="1" xfId="0" applyFont="1" applyFill="1" applyBorder="1" applyAlignment="1">
      <alignment horizontal="center"/>
    </xf>
    <xf numFmtId="6" fontId="10" fillId="2" borderId="0" xfId="2" applyNumberFormat="1" applyFont="1" applyFill="1" applyBorder="1" applyAlignment="1">
      <alignment horizontal="left"/>
    </xf>
    <xf numFmtId="164" fontId="3" fillId="2" borderId="0" xfId="1" applyNumberFormat="1" applyFont="1" applyFill="1" applyBorder="1" applyAlignment="1">
      <alignment horizontal="right"/>
    </xf>
    <xf numFmtId="0" fontId="16" fillId="0" borderId="1" xfId="0" applyFont="1" applyFill="1" applyBorder="1"/>
    <xf numFmtId="0" fontId="0" fillId="0" borderId="1" xfId="0" applyFill="1" applyBorder="1" applyAlignment="1"/>
    <xf numFmtId="0" fontId="16" fillId="0" borderId="1" xfId="0" applyFont="1" applyFill="1" applyBorder="1" applyAlignment="1">
      <alignment vertical="center" readingOrder="1"/>
    </xf>
    <xf numFmtId="0" fontId="15" fillId="0" borderId="1" xfId="0" applyFont="1" applyFill="1" applyBorder="1" applyAlignment="1"/>
    <xf numFmtId="0" fontId="2" fillId="0" borderId="1" xfId="0" applyFont="1" applyFill="1" applyBorder="1" applyAlignment="1"/>
    <xf numFmtId="0" fontId="1" fillId="0" borderId="1" xfId="0" applyFont="1" applyFill="1" applyBorder="1" applyAlignment="1"/>
    <xf numFmtId="165" fontId="2" fillId="0" borderId="1" xfId="3" applyNumberFormat="1" applyFont="1" applyFill="1" applyBorder="1" applyAlignment="1"/>
    <xf numFmtId="164" fontId="2" fillId="0" borderId="1" xfId="1" applyNumberFormat="1" applyFont="1" applyFill="1" applyBorder="1" applyAlignment="1"/>
    <xf numFmtId="164" fontId="22" fillId="0" borderId="1" xfId="1" applyNumberFormat="1" applyFont="1" applyFill="1" applyBorder="1" applyAlignment="1"/>
    <xf numFmtId="0" fontId="0" fillId="0" borderId="2" xfId="0" applyFill="1" applyBorder="1" applyAlignment="1">
      <alignment horizontal="center"/>
    </xf>
    <xf numFmtId="0" fontId="0" fillId="0" borderId="2" xfId="0" applyFont="1" applyFill="1" applyBorder="1" applyAlignment="1"/>
    <xf numFmtId="0" fontId="9" fillId="0" borderId="2" xfId="0" applyFont="1" applyFill="1" applyBorder="1" applyAlignment="1"/>
    <xf numFmtId="165" fontId="16" fillId="0" borderId="2" xfId="3" applyNumberFormat="1" applyFont="1" applyFill="1" applyBorder="1" applyAlignment="1">
      <alignment horizontal="right" vertical="center" readingOrder="1"/>
    </xf>
    <xf numFmtId="164" fontId="16" fillId="0" borderId="2" xfId="1" applyNumberFormat="1" applyFont="1" applyFill="1" applyBorder="1"/>
    <xf numFmtId="9" fontId="9" fillId="0" borderId="2" xfId="2" applyFont="1" applyFill="1" applyBorder="1" applyAlignment="1"/>
    <xf numFmtId="164" fontId="9" fillId="0" borderId="2" xfId="1" applyNumberFormat="1" applyFont="1" applyFill="1" applyBorder="1" applyAlignment="1"/>
    <xf numFmtId="164" fontId="23" fillId="0" borderId="2" xfId="1" applyNumberFormat="1" applyFont="1" applyFill="1" applyBorder="1" applyAlignment="1"/>
    <xf numFmtId="3" fontId="23" fillId="0" borderId="2" xfId="0" applyNumberFormat="1" applyFont="1" applyFill="1" applyBorder="1" applyAlignment="1"/>
    <xf numFmtId="164" fontId="9" fillId="0" borderId="2" xfId="0" applyNumberFormat="1" applyFont="1" applyFill="1" applyBorder="1" applyAlignment="1"/>
    <xf numFmtId="164" fontId="4" fillId="0" borderId="2" xfId="1" applyNumberFormat="1" applyFont="1" applyFill="1" applyBorder="1"/>
    <xf numFmtId="164" fontId="4" fillId="0" borderId="2" xfId="1" applyNumberFormat="1" applyFont="1" applyFill="1" applyBorder="1" applyAlignment="1">
      <alignment horizontal="center"/>
    </xf>
    <xf numFmtId="164" fontId="0" fillId="2" borderId="0" xfId="1" applyNumberFormat="1" applyFont="1" applyFill="1" applyBorder="1" applyAlignment="1">
      <alignment horizontal="center"/>
    </xf>
    <xf numFmtId="164" fontId="19" fillId="2" borderId="0" xfId="1" applyNumberFormat="1" applyFont="1" applyFill="1" applyBorder="1" applyAlignment="1">
      <alignment horizontal="center"/>
    </xf>
    <xf numFmtId="164" fontId="25" fillId="2" borderId="0" xfId="1" applyNumberFormat="1" applyFont="1" applyFill="1" applyBorder="1" applyAlignment="1">
      <alignment horizontal="center"/>
    </xf>
    <xf numFmtId="0" fontId="10" fillId="0" borderId="0" xfId="0" applyFont="1" applyBorder="1"/>
    <xf numFmtId="9" fontId="3" fillId="0" borderId="0" xfId="2" applyFont="1" applyFill="1" applyBorder="1" applyAlignment="1">
      <alignment horizontal="center" wrapText="1"/>
    </xf>
    <xf numFmtId="0" fontId="3" fillId="2" borderId="1" xfId="0" applyFont="1" applyFill="1" applyBorder="1" applyAlignment="1">
      <alignment horizontal="center" wrapText="1"/>
    </xf>
    <xf numFmtId="0" fontId="3" fillId="2" borderId="1" xfId="0" applyFont="1" applyFill="1" applyBorder="1"/>
    <xf numFmtId="0" fontId="3" fillId="2" borderId="1" xfId="0" applyFont="1" applyFill="1" applyBorder="1" applyAlignment="1">
      <alignment wrapText="1"/>
    </xf>
    <xf numFmtId="0" fontId="3" fillId="2" borderId="1" xfId="0" applyFont="1" applyFill="1" applyBorder="1" applyAlignment="1">
      <alignment horizontal="center"/>
    </xf>
    <xf numFmtId="3" fontId="3" fillId="2" borderId="1" xfId="0" applyNumberFormat="1" applyFont="1" applyFill="1" applyBorder="1" applyAlignment="1">
      <alignment horizontal="center"/>
    </xf>
    <xf numFmtId="164" fontId="3" fillId="2" borderId="1" xfId="1" applyNumberFormat="1" applyFont="1" applyFill="1" applyBorder="1" applyAlignment="1">
      <alignment horizontal="center" wrapText="1"/>
    </xf>
    <xf numFmtId="9" fontId="3" fillId="2" borderId="1" xfId="2" applyFont="1" applyFill="1" applyBorder="1" applyAlignment="1">
      <alignment horizontal="center" wrapText="1"/>
    </xf>
    <xf numFmtId="164" fontId="22" fillId="2" borderId="1" xfId="1" applyNumberFormat="1" applyFont="1" applyFill="1" applyBorder="1" applyAlignment="1">
      <alignment horizontal="center" wrapText="1"/>
    </xf>
    <xf numFmtId="9" fontId="6" fillId="2" borderId="1" xfId="2" applyFont="1" applyFill="1" applyBorder="1" applyAlignment="1">
      <alignment horizontal="center" wrapText="1"/>
    </xf>
    <xf numFmtId="0" fontId="0" fillId="2" borderId="0" xfId="0" applyFont="1" applyFill="1" applyBorder="1" applyAlignment="1">
      <alignment horizontal="center"/>
    </xf>
    <xf numFmtId="0" fontId="6" fillId="2" borderId="1" xfId="0" applyFont="1" applyFill="1" applyBorder="1" applyAlignment="1">
      <alignment horizontal="center" wrapText="1"/>
    </xf>
    <xf numFmtId="0" fontId="0" fillId="0" borderId="2" xfId="0" applyFont="1" applyFill="1" applyBorder="1" applyAlignment="1">
      <alignment horizontal="center"/>
    </xf>
    <xf numFmtId="0" fontId="0" fillId="2" borderId="3" xfId="0" applyFont="1" applyFill="1" applyBorder="1" applyAlignment="1">
      <alignment horizontal="center"/>
    </xf>
    <xf numFmtId="0" fontId="6" fillId="2" borderId="2" xfId="0" applyFont="1" applyFill="1" applyBorder="1" applyAlignment="1">
      <alignment horizontal="center" wrapText="1"/>
    </xf>
    <xf numFmtId="0" fontId="0" fillId="0" borderId="0" xfId="0" applyFont="1" applyAlignment="1">
      <alignment horizontal="center"/>
    </xf>
    <xf numFmtId="0" fontId="0" fillId="0" borderId="5" xfId="0" applyFill="1" applyBorder="1"/>
    <xf numFmtId="0" fontId="0" fillId="0" borderId="6" xfId="0" applyFill="1" applyBorder="1"/>
    <xf numFmtId="0" fontId="0" fillId="2" borderId="7" xfId="0" applyFill="1" applyBorder="1" applyAlignment="1">
      <alignment horizontal="center"/>
    </xf>
    <xf numFmtId="0" fontId="0" fillId="2" borderId="8" xfId="0" applyFill="1" applyBorder="1" applyAlignment="1">
      <alignment horizontal="center"/>
    </xf>
    <xf numFmtId="0" fontId="0" fillId="2" borderId="8" xfId="0" applyFont="1" applyFill="1" applyBorder="1" applyAlignment="1">
      <alignment horizontal="center"/>
    </xf>
    <xf numFmtId="0" fontId="0" fillId="2" borderId="8" xfId="0" applyFill="1" applyBorder="1"/>
    <xf numFmtId="3" fontId="0" fillId="2" borderId="8" xfId="0" applyNumberFormat="1" applyFill="1" applyBorder="1" applyAlignment="1">
      <alignment horizontal="center"/>
    </xf>
    <xf numFmtId="164" fontId="0" fillId="2" borderId="8" xfId="1" applyNumberFormat="1" applyFont="1" applyFill="1" applyBorder="1" applyAlignment="1">
      <alignment horizontal="center"/>
    </xf>
    <xf numFmtId="9" fontId="0" fillId="2" borderId="8" xfId="2" applyFont="1" applyFill="1" applyBorder="1" applyAlignment="1">
      <alignment horizontal="center"/>
    </xf>
    <xf numFmtId="164" fontId="11" fillId="2" borderId="8" xfId="1" applyNumberFormat="1" applyFont="1" applyFill="1" applyBorder="1" applyAlignment="1">
      <alignment horizontal="left"/>
    </xf>
    <xf numFmtId="164" fontId="18" fillId="2" borderId="8" xfId="1" applyNumberFormat="1" applyFont="1" applyFill="1" applyBorder="1" applyAlignment="1">
      <alignment horizontal="left"/>
    </xf>
    <xf numFmtId="164" fontId="22" fillId="2" borderId="8" xfId="1" applyNumberFormat="1" applyFont="1" applyFill="1" applyBorder="1" applyAlignment="1">
      <alignment horizontal="left"/>
    </xf>
    <xf numFmtId="9" fontId="4" fillId="2" borderId="8" xfId="2" applyFont="1" applyFill="1" applyBorder="1" applyAlignment="1">
      <alignment horizontal="center"/>
    </xf>
    <xf numFmtId="164" fontId="10" fillId="2" borderId="9" xfId="1" applyNumberFormat="1" applyFont="1" applyFill="1" applyBorder="1" applyAlignment="1">
      <alignment horizontal="center"/>
    </xf>
    <xf numFmtId="0" fontId="0" fillId="2" borderId="10" xfId="0" applyFill="1" applyBorder="1" applyAlignment="1">
      <alignment horizontal="center"/>
    </xf>
    <xf numFmtId="164" fontId="10" fillId="2" borderId="11" xfId="1" applyNumberFormat="1" applyFont="1" applyFill="1" applyBorder="1" applyAlignment="1">
      <alignment horizontal="center"/>
    </xf>
    <xf numFmtId="0" fontId="3" fillId="2" borderId="12" xfId="0" applyFont="1" applyFill="1" applyBorder="1" applyAlignment="1">
      <alignment horizontal="center" wrapText="1"/>
    </xf>
    <xf numFmtId="164" fontId="6" fillId="2" borderId="13" xfId="1" applyNumberFormat="1" applyFont="1" applyFill="1" applyBorder="1" applyAlignment="1">
      <alignment horizontal="center" wrapText="1"/>
    </xf>
    <xf numFmtId="0" fontId="10" fillId="0" borderId="14" xfId="0" applyFont="1" applyFill="1" applyBorder="1" applyAlignment="1">
      <alignment horizontal="center"/>
    </xf>
    <xf numFmtId="164" fontId="4" fillId="0" borderId="15" xfId="1" applyNumberFormat="1" applyFont="1" applyFill="1" applyBorder="1" applyAlignment="1">
      <alignment horizontal="center"/>
    </xf>
    <xf numFmtId="0" fontId="10" fillId="0" borderId="12" xfId="0" applyFont="1" applyFill="1" applyBorder="1" applyAlignment="1">
      <alignment horizontal="center"/>
    </xf>
    <xf numFmtId="164" fontId="4" fillId="0" borderId="13" xfId="1" applyNumberFormat="1" applyFont="1" applyFill="1" applyBorder="1" applyAlignment="1">
      <alignment horizontal="center"/>
    </xf>
    <xf numFmtId="0" fontId="0" fillId="2" borderId="16" xfId="0" applyFill="1" applyBorder="1" applyAlignment="1">
      <alignment horizontal="center"/>
    </xf>
    <xf numFmtId="164" fontId="5" fillId="2" borderId="13" xfId="1" applyNumberFormat="1" applyFont="1" applyFill="1" applyBorder="1" applyAlignment="1">
      <alignment horizontal="center"/>
    </xf>
    <xf numFmtId="0" fontId="3" fillId="2" borderId="14" xfId="0" applyFont="1" applyFill="1" applyBorder="1" applyAlignment="1">
      <alignment horizontal="center" wrapText="1"/>
    </xf>
    <xf numFmtId="164" fontId="10" fillId="0" borderId="13" xfId="1" applyNumberFormat="1" applyFont="1" applyFill="1" applyBorder="1" applyAlignment="1">
      <alignment horizontal="center"/>
    </xf>
    <xf numFmtId="0" fontId="0" fillId="0" borderId="10" xfId="0" applyFill="1" applyBorder="1"/>
    <xf numFmtId="164" fontId="4" fillId="2" borderId="8" xfId="1" applyNumberFormat="1" applyFont="1" applyFill="1" applyBorder="1" applyAlignment="1">
      <alignment horizontal="center"/>
    </xf>
    <xf numFmtId="164" fontId="4" fillId="2" borderId="0" xfId="1" applyNumberFormat="1" applyFont="1" applyFill="1" applyBorder="1" applyAlignment="1">
      <alignment horizontal="center"/>
    </xf>
    <xf numFmtId="164" fontId="4" fillId="2" borderId="22" xfId="1" applyNumberFormat="1" applyFont="1" applyFill="1" applyBorder="1" applyAlignment="1">
      <alignment horizontal="center"/>
    </xf>
    <xf numFmtId="164" fontId="6" fillId="2" borderId="15" xfId="1" applyNumberFormat="1" applyFont="1" applyFill="1" applyBorder="1" applyAlignment="1">
      <alignment horizontal="center" wrapText="1"/>
    </xf>
    <xf numFmtId="0" fontId="10" fillId="0" borderId="16" xfId="0" applyFont="1" applyFill="1" applyBorder="1" applyAlignment="1">
      <alignment horizontal="center"/>
    </xf>
    <xf numFmtId="0" fontId="0" fillId="0" borderId="3" xfId="0" applyFill="1" applyBorder="1" applyAlignment="1">
      <alignment horizontal="center"/>
    </xf>
    <xf numFmtId="0" fontId="0" fillId="0" borderId="3" xfId="0" applyFont="1" applyFill="1" applyBorder="1" applyAlignment="1">
      <alignment horizontal="center"/>
    </xf>
    <xf numFmtId="0" fontId="0" fillId="0" borderId="3" xfId="0" applyFont="1" applyFill="1" applyBorder="1" applyAlignment="1"/>
    <xf numFmtId="0" fontId="9" fillId="0" borderId="3" xfId="0" applyFont="1" applyFill="1" applyBorder="1" applyAlignment="1"/>
    <xf numFmtId="165" fontId="16" fillId="0" borderId="3" xfId="3" applyNumberFormat="1" applyFont="1" applyFill="1" applyBorder="1" applyAlignment="1">
      <alignment horizontal="right" vertical="center" readingOrder="1"/>
    </xf>
    <xf numFmtId="164" fontId="16" fillId="0" borderId="3" xfId="1" applyNumberFormat="1" applyFont="1" applyFill="1" applyBorder="1"/>
    <xf numFmtId="9" fontId="9" fillId="0" borderId="3" xfId="2" applyFont="1" applyFill="1" applyBorder="1" applyAlignment="1"/>
    <xf numFmtId="164" fontId="0" fillId="0" borderId="0" xfId="1" applyNumberFormat="1" applyFont="1" applyBorder="1" applyAlignment="1">
      <alignment horizontal="center"/>
    </xf>
    <xf numFmtId="9" fontId="29" fillId="0" borderId="0" xfId="2" applyFont="1" applyBorder="1" applyAlignment="1">
      <alignment horizontal="center"/>
    </xf>
    <xf numFmtId="0" fontId="29" fillId="0" borderId="0" xfId="0" applyFont="1" applyAlignment="1">
      <alignment horizontal="center"/>
    </xf>
    <xf numFmtId="9" fontId="0" fillId="0" borderId="0" xfId="2" applyFont="1" applyBorder="1" applyAlignment="1">
      <alignment horizontal="center"/>
    </xf>
    <xf numFmtId="9" fontId="29" fillId="2" borderId="8" xfId="2" applyFont="1" applyFill="1" applyBorder="1" applyAlignment="1">
      <alignment horizontal="center"/>
    </xf>
    <xf numFmtId="0" fontId="29" fillId="2" borderId="8" xfId="0" applyFont="1" applyFill="1" applyBorder="1" applyAlignment="1">
      <alignment horizontal="center"/>
    </xf>
    <xf numFmtId="0" fontId="0" fillId="2" borderId="9" xfId="0" applyFill="1" applyBorder="1"/>
    <xf numFmtId="0" fontId="0" fillId="2" borderId="0" xfId="0" applyFill="1"/>
    <xf numFmtId="0" fontId="0" fillId="2" borderId="0" xfId="0" applyFill="1" applyAlignment="1">
      <alignment horizontal="center"/>
    </xf>
    <xf numFmtId="3" fontId="0" fillId="2" borderId="0" xfId="0" applyNumberFormat="1" applyFill="1" applyAlignment="1">
      <alignment horizontal="center"/>
    </xf>
    <xf numFmtId="164" fontId="3" fillId="2" borderId="0" xfId="1" applyNumberFormat="1" applyFont="1" applyFill="1" applyBorder="1" applyAlignment="1">
      <alignment horizontal="center"/>
    </xf>
    <xf numFmtId="6" fontId="10" fillId="2" borderId="0" xfId="2" applyNumberFormat="1" applyFont="1" applyFill="1" applyBorder="1" applyAlignment="1">
      <alignment horizontal="center"/>
    </xf>
    <xf numFmtId="9" fontId="29" fillId="2" borderId="0" xfId="2" applyFont="1" applyFill="1" applyBorder="1" applyAlignment="1">
      <alignment horizontal="center"/>
    </xf>
    <xf numFmtId="0" fontId="29" fillId="2" borderId="0" xfId="0" applyFont="1" applyFill="1" applyAlignment="1">
      <alignment horizontal="center"/>
    </xf>
    <xf numFmtId="0" fontId="0" fillId="2" borderId="11" xfId="0" applyFill="1" applyBorder="1"/>
    <xf numFmtId="0" fontId="0" fillId="2" borderId="26" xfId="0" applyFill="1" applyBorder="1" applyAlignment="1">
      <alignment horizontal="center"/>
    </xf>
    <xf numFmtId="0" fontId="0" fillId="2" borderId="22" xfId="0" applyFill="1" applyBorder="1" applyAlignment="1">
      <alignment horizontal="center"/>
    </xf>
    <xf numFmtId="0" fontId="0" fillId="2" borderId="22" xfId="0" applyFill="1" applyBorder="1"/>
    <xf numFmtId="3" fontId="0" fillId="2" borderId="22" xfId="0" applyNumberFormat="1" applyFill="1" applyBorder="1" applyAlignment="1">
      <alignment horizontal="center"/>
    </xf>
    <xf numFmtId="164" fontId="0" fillId="2" borderId="22" xfId="1" applyNumberFormat="1" applyFont="1" applyFill="1" applyBorder="1" applyAlignment="1">
      <alignment horizontal="center"/>
    </xf>
    <xf numFmtId="9" fontId="29" fillId="2" borderId="22" xfId="2" applyFont="1" applyFill="1" applyBorder="1" applyAlignment="1">
      <alignment horizontal="center"/>
    </xf>
    <xf numFmtId="0" fontId="29" fillId="2" borderId="22" xfId="0" applyFont="1" applyFill="1" applyBorder="1" applyAlignment="1">
      <alignment horizontal="center"/>
    </xf>
    <xf numFmtId="9" fontId="0" fillId="2" borderId="22" xfId="2" applyFont="1" applyFill="1" applyBorder="1" applyAlignment="1">
      <alignment horizontal="center"/>
    </xf>
    <xf numFmtId="0" fontId="0" fillId="2" borderId="27" xfId="0" applyFill="1" applyBorder="1"/>
    <xf numFmtId="0" fontId="22" fillId="2" borderId="0" xfId="0" applyFont="1" applyFill="1" applyAlignment="1">
      <alignment horizontal="center" wrapText="1"/>
    </xf>
    <xf numFmtId="0" fontId="10" fillId="2" borderId="1" xfId="0" applyFont="1" applyFill="1" applyBorder="1" applyAlignment="1">
      <alignment horizontal="center" wrapText="1"/>
    </xf>
    <xf numFmtId="0" fontId="10" fillId="2" borderId="13" xfId="0" applyFont="1" applyFill="1" applyBorder="1" applyAlignment="1">
      <alignment horizontal="center" wrapText="1"/>
    </xf>
    <xf numFmtId="0" fontId="10" fillId="0" borderId="12" xfId="0" applyFont="1" applyBorder="1" applyAlignment="1">
      <alignment horizontal="center"/>
    </xf>
    <xf numFmtId="0" fontId="0" fillId="0" borderId="1" xfId="0" applyBorder="1" applyAlignment="1">
      <alignment horizontal="center"/>
    </xf>
    <xf numFmtId="165" fontId="9" fillId="0" borderId="1" xfId="3" applyNumberFormat="1" applyFont="1" applyBorder="1" applyAlignment="1"/>
    <xf numFmtId="3" fontId="9" fillId="0" borderId="1" xfId="0" applyNumberFormat="1" applyFont="1" applyBorder="1" applyAlignment="1"/>
    <xf numFmtId="9" fontId="8" fillId="0" borderId="1" xfId="2" applyFont="1" applyBorder="1" applyAlignment="1"/>
    <xf numFmtId="0" fontId="24" fillId="0" borderId="1" xfId="0" applyFont="1" applyBorder="1" applyAlignment="1"/>
    <xf numFmtId="164" fontId="0" fillId="0" borderId="1" xfId="1" applyNumberFormat="1" applyFont="1" applyFill="1" applyBorder="1" applyAlignment="1">
      <alignment horizontal="center"/>
    </xf>
    <xf numFmtId="164" fontId="0" fillId="0" borderId="1" xfId="1" applyNumberFormat="1" applyFont="1" applyFill="1" applyBorder="1"/>
    <xf numFmtId="164" fontId="0" fillId="0" borderId="13" xfId="0" applyNumberFormat="1" applyBorder="1"/>
    <xf numFmtId="0" fontId="8" fillId="0" borderId="1" xfId="0" applyFont="1" applyBorder="1" applyAlignment="1"/>
    <xf numFmtId="164" fontId="16" fillId="0" borderId="1" xfId="0" applyNumberFormat="1" applyFont="1" applyBorder="1"/>
    <xf numFmtId="9" fontId="8" fillId="0" borderId="1" xfId="2" applyFont="1" applyFill="1" applyBorder="1" applyAlignment="1"/>
    <xf numFmtId="0" fontId="14" fillId="0" borderId="1" xfId="0" applyFont="1" applyBorder="1"/>
    <xf numFmtId="3" fontId="14" fillId="0" borderId="1" xfId="0" applyNumberFormat="1" applyFont="1" applyBorder="1"/>
    <xf numFmtId="0" fontId="24" fillId="0" borderId="1" xfId="0" applyFont="1" applyBorder="1"/>
    <xf numFmtId="0" fontId="16" fillId="0" borderId="1" xfId="0" applyFont="1" applyBorder="1" applyAlignment="1">
      <alignment vertical="center" readingOrder="1"/>
    </xf>
    <xf numFmtId="9" fontId="30" fillId="2" borderId="3" xfId="2" applyFont="1" applyFill="1" applyBorder="1" applyAlignment="1">
      <alignment horizontal="center"/>
    </xf>
    <xf numFmtId="164" fontId="5" fillId="2" borderId="3" xfId="1" applyNumberFormat="1" applyFont="1" applyFill="1" applyBorder="1" applyAlignment="1">
      <alignment horizontal="center"/>
    </xf>
    <xf numFmtId="9" fontId="29" fillId="2" borderId="3" xfId="2" applyFont="1" applyFill="1" applyBorder="1" applyAlignment="1">
      <alignment horizontal="center"/>
    </xf>
    <xf numFmtId="164" fontId="26" fillId="2" borderId="3" xfId="1" applyNumberFormat="1" applyFont="1" applyFill="1" applyBorder="1" applyAlignment="1">
      <alignment horizontal="center"/>
    </xf>
    <xf numFmtId="164" fontId="5" fillId="2" borderId="28" xfId="1" applyNumberFormat="1" applyFont="1" applyFill="1" applyBorder="1" applyAlignment="1">
      <alignment horizontal="center"/>
    </xf>
    <xf numFmtId="164" fontId="5" fillId="2" borderId="6" xfId="1" applyNumberFormat="1" applyFont="1" applyFill="1" applyBorder="1" applyAlignment="1">
      <alignment horizontal="center"/>
    </xf>
    <xf numFmtId="9" fontId="29" fillId="0" borderId="0" xfId="2" applyFont="1" applyAlignment="1">
      <alignment horizontal="center"/>
    </xf>
    <xf numFmtId="0" fontId="31" fillId="2" borderId="8" xfId="0" applyFont="1" applyFill="1" applyBorder="1" applyAlignment="1">
      <alignment horizontal="center"/>
    </xf>
    <xf numFmtId="9" fontId="13" fillId="2" borderId="8" xfId="2" applyFont="1" applyFill="1" applyBorder="1" applyAlignment="1">
      <alignment horizontal="center"/>
    </xf>
    <xf numFmtId="0" fontId="13" fillId="2" borderId="8" xfId="0" applyFont="1" applyFill="1" applyBorder="1" applyAlignment="1">
      <alignment horizontal="center"/>
    </xf>
    <xf numFmtId="164" fontId="10" fillId="2" borderId="29" xfId="1" applyNumberFormat="1" applyFont="1" applyFill="1" applyBorder="1" applyAlignment="1">
      <alignment horizontal="center"/>
    </xf>
    <xf numFmtId="164" fontId="29" fillId="2" borderId="9" xfId="1" applyNumberFormat="1" applyFont="1" applyFill="1" applyBorder="1" applyAlignment="1">
      <alignment horizontal="center"/>
    </xf>
    <xf numFmtId="0" fontId="31" fillId="2" borderId="0" xfId="0" applyFont="1" applyFill="1" applyAlignment="1">
      <alignment horizontal="center"/>
    </xf>
    <xf numFmtId="9" fontId="13" fillId="2" borderId="0" xfId="2" applyFont="1" applyFill="1" applyBorder="1" applyAlignment="1">
      <alignment horizontal="center"/>
    </xf>
    <xf numFmtId="0" fontId="13" fillId="2" borderId="0" xfId="0" applyFont="1" applyFill="1" applyAlignment="1">
      <alignment horizontal="center"/>
    </xf>
    <xf numFmtId="164" fontId="10" fillId="2" borderId="30" xfId="1" applyNumberFormat="1" applyFont="1" applyFill="1" applyBorder="1" applyAlignment="1">
      <alignment horizontal="center"/>
    </xf>
    <xf numFmtId="164" fontId="29" fillId="2" borderId="11" xfId="1" applyNumberFormat="1" applyFont="1" applyFill="1" applyBorder="1" applyAlignment="1">
      <alignment horizontal="center"/>
    </xf>
    <xf numFmtId="164" fontId="11" fillId="2" borderId="22" xfId="1" applyNumberFormat="1" applyFont="1" applyFill="1" applyBorder="1" applyAlignment="1">
      <alignment horizontal="left"/>
    </xf>
    <xf numFmtId="6" fontId="10" fillId="2" borderId="22" xfId="2" applyNumberFormat="1" applyFont="1" applyFill="1" applyBorder="1" applyAlignment="1">
      <alignment horizontal="center"/>
    </xf>
    <xf numFmtId="0" fontId="31" fillId="2" borderId="22" xfId="0" applyFont="1" applyFill="1" applyBorder="1" applyAlignment="1">
      <alignment horizontal="center"/>
    </xf>
    <xf numFmtId="9" fontId="13" fillId="2" borderId="22" xfId="2" applyFont="1" applyFill="1" applyBorder="1" applyAlignment="1">
      <alignment horizontal="center"/>
    </xf>
    <xf numFmtId="0" fontId="13" fillId="2" borderId="22" xfId="0" applyFont="1" applyFill="1" applyBorder="1" applyAlignment="1">
      <alignment horizontal="center"/>
    </xf>
    <xf numFmtId="164" fontId="10" fillId="2" borderId="5" xfId="1" applyNumberFormat="1" applyFont="1" applyFill="1" applyBorder="1" applyAlignment="1">
      <alignment horizontal="center"/>
    </xf>
    <xf numFmtId="164" fontId="6" fillId="3" borderId="2" xfId="1" applyNumberFormat="1" applyFont="1" applyFill="1" applyBorder="1" applyAlignment="1">
      <alignment horizontal="center" wrapText="1"/>
    </xf>
    <xf numFmtId="0" fontId="6" fillId="3" borderId="2" xfId="0" applyFont="1" applyFill="1" applyBorder="1" applyAlignment="1">
      <alignment horizontal="center" wrapText="1"/>
    </xf>
    <xf numFmtId="9" fontId="6" fillId="3" borderId="2" xfId="2" applyFont="1" applyFill="1" applyBorder="1" applyAlignment="1">
      <alignment horizontal="center" wrapText="1"/>
    </xf>
    <xf numFmtId="164" fontId="6" fillId="4" borderId="2" xfId="1" applyNumberFormat="1" applyFont="1" applyFill="1" applyBorder="1" applyAlignment="1">
      <alignment horizontal="center" wrapText="1"/>
    </xf>
    <xf numFmtId="0" fontId="6" fillId="4" borderId="2" xfId="0" applyFont="1" applyFill="1" applyBorder="1" applyAlignment="1">
      <alignment horizontal="center" wrapText="1"/>
    </xf>
    <xf numFmtId="9" fontId="6" fillId="4" borderId="2" xfId="2" applyFont="1" applyFill="1" applyBorder="1" applyAlignment="1">
      <alignment horizontal="center" wrapText="1"/>
    </xf>
    <xf numFmtId="0" fontId="10" fillId="0" borderId="0" xfId="0" applyFont="1" applyAlignment="1">
      <alignment wrapText="1"/>
    </xf>
    <xf numFmtId="0" fontId="0" fillId="0" borderId="12" xfId="0" applyBorder="1" applyAlignment="1">
      <alignment horizontal="center"/>
    </xf>
    <xf numFmtId="10" fontId="8" fillId="0" borderId="1" xfId="2" applyNumberFormat="1" applyFont="1" applyBorder="1" applyAlignment="1"/>
    <xf numFmtId="6" fontId="0" fillId="3" borderId="1" xfId="0" applyNumberFormat="1" applyFill="1" applyBorder="1"/>
    <xf numFmtId="0" fontId="33" fillId="3" borderId="1" xfId="0" applyFont="1" applyFill="1" applyBorder="1" applyAlignment="1"/>
    <xf numFmtId="9" fontId="4" fillId="3" borderId="1" xfId="2" applyFont="1" applyFill="1" applyBorder="1"/>
    <xf numFmtId="164" fontId="4" fillId="3" borderId="1" xfId="1" applyNumberFormat="1" applyFont="1" applyFill="1" applyBorder="1" applyAlignment="1">
      <alignment horizontal="center"/>
    </xf>
    <xf numFmtId="164" fontId="4" fillId="4" borderId="1" xfId="1" applyNumberFormat="1" applyFont="1" applyFill="1" applyBorder="1" applyAlignment="1">
      <alignment horizontal="center"/>
    </xf>
    <xf numFmtId="0" fontId="8" fillId="4" borderId="1" xfId="0" applyFont="1" applyFill="1" applyBorder="1" applyAlignment="1"/>
    <xf numFmtId="9" fontId="4" fillId="4" borderId="1" xfId="2" applyFont="1" applyFill="1" applyBorder="1"/>
    <xf numFmtId="164" fontId="4" fillId="5" borderId="1" xfId="1" applyNumberFormat="1" applyFont="1" applyFill="1" applyBorder="1" applyAlignment="1">
      <alignment horizontal="center"/>
    </xf>
    <xf numFmtId="164" fontId="10" fillId="0" borderId="1" xfId="1" applyNumberFormat="1" applyFont="1" applyFill="1" applyBorder="1" applyAlignment="1">
      <alignment horizontal="center"/>
    </xf>
    <xf numFmtId="164" fontId="29" fillId="0" borderId="13" xfId="1" applyNumberFormat="1" applyFont="1" applyFill="1" applyBorder="1" applyAlignment="1">
      <alignment horizontal="center"/>
    </xf>
    <xf numFmtId="164" fontId="0" fillId="0" borderId="0" xfId="0" applyNumberFormat="1"/>
    <xf numFmtId="10" fontId="8" fillId="0" borderId="1" xfId="2" applyNumberFormat="1" applyFont="1" applyFill="1" applyBorder="1" applyAlignment="1"/>
    <xf numFmtId="9" fontId="0" fillId="0" borderId="0" xfId="0" applyNumberFormat="1"/>
    <xf numFmtId="0" fontId="0" fillId="0" borderId="1" xfId="0" applyBorder="1" applyAlignment="1"/>
    <xf numFmtId="0" fontId="33" fillId="3" borderId="1" xfId="0" applyFont="1" applyFill="1" applyBorder="1"/>
    <xf numFmtId="0" fontId="8" fillId="4" borderId="1" xfId="0" applyFont="1" applyFill="1" applyBorder="1"/>
    <xf numFmtId="164" fontId="34" fillId="2" borderId="3" xfId="1" applyNumberFormat="1" applyFont="1" applyFill="1" applyBorder="1" applyAlignment="1">
      <alignment horizontal="center"/>
    </xf>
    <xf numFmtId="0" fontId="22" fillId="0" borderId="11" xfId="0" applyFont="1" applyBorder="1" applyAlignment="1">
      <alignment horizontal="left"/>
    </xf>
    <xf numFmtId="14" fontId="0" fillId="3" borderId="12" xfId="0" applyNumberFormat="1" applyFill="1" applyBorder="1" applyAlignment="1">
      <alignment horizontal="center"/>
    </xf>
    <xf numFmtId="0" fontId="9" fillId="3" borderId="1" xfId="0" applyFont="1" applyFill="1" applyBorder="1" applyAlignment="1"/>
    <xf numFmtId="0" fontId="14" fillId="3" borderId="3" xfId="0" applyFont="1" applyFill="1" applyBorder="1" applyAlignment="1"/>
    <xf numFmtId="0" fontId="8" fillId="3" borderId="1" xfId="0" applyFont="1" applyFill="1" applyBorder="1" applyAlignment="1"/>
    <xf numFmtId="164" fontId="9" fillId="3" borderId="1" xfId="1" applyNumberFormat="1" applyFont="1" applyFill="1" applyBorder="1" applyAlignment="1"/>
    <xf numFmtId="10" fontId="8" fillId="3" borderId="1" xfId="2" applyNumberFormat="1" applyFont="1" applyFill="1" applyBorder="1" applyAlignment="1"/>
    <xf numFmtId="3" fontId="9" fillId="3" borderId="1" xfId="0" applyNumberFormat="1" applyFont="1" applyFill="1" applyBorder="1" applyAlignment="1"/>
    <xf numFmtId="0" fontId="35" fillId="3" borderId="1" xfId="0" applyFont="1" applyFill="1" applyBorder="1" applyAlignment="1"/>
    <xf numFmtId="164" fontId="0" fillId="3" borderId="1" xfId="1" applyNumberFormat="1" applyFont="1" applyFill="1" applyBorder="1" applyAlignment="1">
      <alignment horizontal="center"/>
    </xf>
    <xf numFmtId="164" fontId="10" fillId="3" borderId="1" xfId="1" applyNumberFormat="1" applyFont="1" applyFill="1" applyBorder="1" applyAlignment="1">
      <alignment horizontal="center"/>
    </xf>
    <xf numFmtId="164" fontId="29" fillId="3" borderId="11" xfId="1" applyNumberFormat="1" applyFont="1" applyFill="1" applyBorder="1" applyAlignment="1">
      <alignment horizontal="center"/>
    </xf>
    <xf numFmtId="0" fontId="0" fillId="6" borderId="0" xfId="0" applyFill="1"/>
    <xf numFmtId="0" fontId="9" fillId="2" borderId="0" xfId="0" applyFont="1" applyFill="1" applyAlignment="1"/>
    <xf numFmtId="0" fontId="14" fillId="2" borderId="0" xfId="0" applyFont="1" applyFill="1" applyAlignment="1"/>
    <xf numFmtId="0" fontId="8" fillId="2" borderId="0" xfId="0" applyFont="1" applyFill="1" applyAlignment="1"/>
    <xf numFmtId="3" fontId="9" fillId="2" borderId="0" xfId="0" applyNumberFormat="1" applyFont="1" applyFill="1" applyAlignment="1"/>
    <xf numFmtId="10" fontId="8" fillId="2" borderId="0" xfId="2" applyNumberFormat="1" applyFont="1" applyFill="1" applyBorder="1" applyAlignment="1"/>
    <xf numFmtId="0" fontId="35" fillId="2" borderId="0" xfId="0" applyFont="1" applyFill="1" applyAlignment="1"/>
    <xf numFmtId="9" fontId="4" fillId="2" borderId="0" xfId="2" applyFont="1" applyFill="1" applyBorder="1"/>
    <xf numFmtId="164" fontId="10" fillId="2" borderId="0" xfId="1" applyNumberFormat="1" applyFont="1" applyFill="1" applyBorder="1" applyAlignment="1">
      <alignment horizontal="center"/>
    </xf>
    <xf numFmtId="0" fontId="31" fillId="0" borderId="0" xfId="0" applyFont="1" applyAlignment="1">
      <alignment horizontal="center"/>
    </xf>
    <xf numFmtId="9" fontId="13" fillId="0" borderId="0" xfId="2" applyFont="1" applyAlignment="1">
      <alignment horizontal="center"/>
    </xf>
    <xf numFmtId="0" fontId="13" fillId="0" borderId="0" xfId="0" applyFont="1" applyAlignment="1">
      <alignment horizontal="center"/>
    </xf>
    <xf numFmtId="164" fontId="29" fillId="0" borderId="0" xfId="1" applyNumberFormat="1" applyFont="1" applyFill="1" applyAlignment="1">
      <alignment horizontal="center"/>
    </xf>
    <xf numFmtId="0" fontId="37" fillId="0" borderId="0" xfId="0" applyFont="1"/>
    <xf numFmtId="0" fontId="37" fillId="0" borderId="0" xfId="0" applyFont="1" applyBorder="1"/>
    <xf numFmtId="9" fontId="37" fillId="0" borderId="0" xfId="2" applyFont="1" applyBorder="1" applyAlignment="1">
      <alignment horizontal="center"/>
    </xf>
    <xf numFmtId="0" fontId="0" fillId="0" borderId="0" xfId="0" applyBorder="1" applyAlignment="1">
      <alignment horizontal="center"/>
    </xf>
    <xf numFmtId="0" fontId="0" fillId="0" borderId="0" xfId="0" applyFont="1" applyBorder="1" applyAlignment="1">
      <alignment horizontal="center"/>
    </xf>
    <xf numFmtId="3" fontId="0" fillId="0" borderId="0" xfId="0" applyNumberFormat="1" applyBorder="1" applyAlignment="1">
      <alignment horizontal="center"/>
    </xf>
    <xf numFmtId="164" fontId="19" fillId="0" borderId="0" xfId="1" applyNumberFormat="1" applyFont="1" applyBorder="1" applyAlignment="1">
      <alignment horizontal="center"/>
    </xf>
    <xf numFmtId="164" fontId="25" fillId="0" borderId="0" xfId="1" applyNumberFormat="1" applyFont="1" applyBorder="1" applyAlignment="1">
      <alignment horizontal="center"/>
    </xf>
    <xf numFmtId="9" fontId="4" fillId="0" borderId="0" xfId="2" applyFont="1" applyBorder="1" applyAlignment="1">
      <alignment horizontal="center"/>
    </xf>
    <xf numFmtId="164" fontId="4" fillId="0" borderId="0" xfId="1" applyNumberFormat="1" applyFont="1" applyBorder="1" applyAlignment="1">
      <alignment horizontal="center"/>
    </xf>
    <xf numFmtId="164" fontId="10" fillId="0" borderId="0" xfId="1" applyNumberFormat="1" applyFont="1" applyBorder="1" applyAlignment="1">
      <alignment horizontal="center"/>
    </xf>
    <xf numFmtId="0" fontId="38" fillId="0" borderId="1" xfId="0" applyFont="1" applyBorder="1" applyAlignment="1">
      <alignment horizontal="center"/>
    </xf>
    <xf numFmtId="166" fontId="0" fillId="0" borderId="1" xfId="0" applyNumberFormat="1" applyBorder="1" applyAlignment="1">
      <alignment horizontal="center"/>
    </xf>
    <xf numFmtId="0" fontId="14" fillId="0" borderId="1" xfId="0" applyFont="1" applyBorder="1" applyAlignment="1"/>
    <xf numFmtId="166" fontId="0" fillId="0" borderId="31" xfId="0" applyNumberFormat="1" applyBorder="1" applyAlignment="1">
      <alignment horizontal="center"/>
    </xf>
    <xf numFmtId="0" fontId="0" fillId="0" borderId="31" xfId="0" applyBorder="1" applyAlignment="1"/>
    <xf numFmtId="0" fontId="9" fillId="0" borderId="31" xfId="0" applyFont="1" applyBorder="1" applyAlignment="1"/>
    <xf numFmtId="0" fontId="14" fillId="0" borderId="31" xfId="0" applyFont="1" applyBorder="1" applyAlignment="1"/>
    <xf numFmtId="0" fontId="8" fillId="0" borderId="31" xfId="0" applyFont="1" applyBorder="1" applyAlignment="1"/>
    <xf numFmtId="165" fontId="16" fillId="0" borderId="31" xfId="3" applyNumberFormat="1" applyFont="1" applyFill="1" applyBorder="1" applyAlignment="1">
      <alignment horizontal="right" vertical="center" readingOrder="1"/>
    </xf>
    <xf numFmtId="164" fontId="16" fillId="0" borderId="31" xfId="1" applyNumberFormat="1" applyFont="1" applyFill="1" applyBorder="1"/>
    <xf numFmtId="9" fontId="9" fillId="0" borderId="31" xfId="2" applyFont="1" applyBorder="1" applyAlignment="1"/>
    <xf numFmtId="164" fontId="8" fillId="0" borderId="31" xfId="1" applyNumberFormat="1" applyFont="1" applyFill="1" applyBorder="1" applyAlignment="1"/>
    <xf numFmtId="164" fontId="24" fillId="0" borderId="31" xfId="1" applyNumberFormat="1" applyFont="1" applyFill="1" applyBorder="1" applyAlignment="1"/>
    <xf numFmtId="3" fontId="23" fillId="0" borderId="31" xfId="0" applyNumberFormat="1" applyFont="1" applyBorder="1" applyAlignment="1"/>
    <xf numFmtId="9" fontId="0" fillId="0" borderId="31" xfId="2" applyFont="1" applyFill="1" applyBorder="1"/>
    <xf numFmtId="164" fontId="4" fillId="0" borderId="31" xfId="1" applyNumberFormat="1" applyFont="1" applyFill="1" applyBorder="1"/>
    <xf numFmtId="164" fontId="4" fillId="0" borderId="31" xfId="1" applyNumberFormat="1" applyFont="1" applyFill="1" applyBorder="1" applyAlignment="1">
      <alignment horizontal="center"/>
    </xf>
    <xf numFmtId="164" fontId="10" fillId="0" borderId="31" xfId="1" applyNumberFormat="1" applyFont="1" applyFill="1" applyBorder="1" applyAlignment="1">
      <alignment horizontal="center"/>
    </xf>
    <xf numFmtId="9" fontId="17" fillId="0" borderId="2" xfId="2" applyFont="1" applyFill="1" applyBorder="1" applyAlignment="1"/>
    <xf numFmtId="0" fontId="0" fillId="0" borderId="0" xfId="0" applyFont="1" applyBorder="1" applyAlignment="1">
      <alignment horizontal="left"/>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0" fillId="0" borderId="0" xfId="0" applyBorder="1" applyAlignment="1">
      <alignment horizontal="left"/>
    </xf>
    <xf numFmtId="0" fontId="15" fillId="0" borderId="0" xfId="0" applyFont="1" applyBorder="1" applyAlignment="1">
      <alignment horizontal="left"/>
    </xf>
    <xf numFmtId="0" fontId="7" fillId="0" borderId="0" xfId="0" applyFont="1" applyBorder="1" applyAlignment="1">
      <alignment horizontal="left"/>
    </xf>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0" fillId="0" borderId="10" xfId="0" applyBorder="1" applyAlignment="1">
      <alignment horizontal="left"/>
    </xf>
    <xf numFmtId="0" fontId="0" fillId="0" borderId="0" xfId="0" applyAlignment="1">
      <alignment horizontal="left"/>
    </xf>
    <xf numFmtId="0" fontId="0" fillId="0" borderId="11"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164" fontId="3" fillId="2" borderId="1" xfId="1" applyNumberFormat="1" applyFont="1" applyFill="1" applyBorder="1" applyAlignment="1">
      <alignment horizontal="center" wrapText="1"/>
    </xf>
    <xf numFmtId="164" fontId="22" fillId="2" borderId="13" xfId="1" applyNumberFormat="1" applyFont="1" applyFill="1" applyBorder="1" applyAlignment="1">
      <alignment horizontal="center" wrapText="1"/>
    </xf>
    <xf numFmtId="0" fontId="6" fillId="0" borderId="16" xfId="0" applyFont="1" applyBorder="1" applyAlignment="1">
      <alignment horizontal="left"/>
    </xf>
    <xf numFmtId="0" fontId="6" fillId="0" borderId="3" xfId="0" applyFont="1" applyBorder="1" applyAlignment="1">
      <alignment horizontal="left"/>
    </xf>
    <xf numFmtId="0" fontId="7" fillId="0" borderId="17" xfId="0" applyFont="1" applyBorder="1" applyAlignment="1">
      <alignment horizontal="left"/>
    </xf>
    <xf numFmtId="0" fontId="7" fillId="0" borderId="4" xfId="0" applyFont="1" applyBorder="1" applyAlignment="1">
      <alignment horizontal="left"/>
    </xf>
    <xf numFmtId="0" fontId="7" fillId="0" borderId="18" xfId="0" applyFont="1" applyBorder="1" applyAlignment="1">
      <alignment horizontal="left"/>
    </xf>
    <xf numFmtId="164" fontId="6" fillId="2" borderId="1" xfId="1" applyNumberFormat="1" applyFont="1" applyFill="1" applyBorder="1" applyAlignment="1">
      <alignment horizontal="center" wrapText="1"/>
    </xf>
    <xf numFmtId="9" fontId="6" fillId="2" borderId="1" xfId="2" applyFont="1" applyFill="1" applyBorder="1" applyAlignment="1">
      <alignment horizontal="center" wrapText="1"/>
    </xf>
    <xf numFmtId="164" fontId="6" fillId="2" borderId="31" xfId="1" applyNumberFormat="1" applyFont="1" applyFill="1" applyBorder="1" applyAlignment="1">
      <alignment horizontal="center" wrapText="1"/>
    </xf>
    <xf numFmtId="164" fontId="6" fillId="2" borderId="2" xfId="1" applyNumberFormat="1" applyFont="1" applyFill="1" applyBorder="1" applyAlignment="1">
      <alignment horizontal="center" wrapText="1"/>
    </xf>
    <xf numFmtId="0" fontId="32" fillId="3" borderId="32" xfId="0" applyFont="1" applyFill="1" applyBorder="1" applyAlignment="1">
      <alignment horizontal="center"/>
    </xf>
    <xf numFmtId="0" fontId="32" fillId="3" borderId="3" xfId="0" applyFont="1" applyFill="1" applyBorder="1" applyAlignment="1">
      <alignment horizontal="center"/>
    </xf>
    <xf numFmtId="0" fontId="32" fillId="4" borderId="32" xfId="0" applyFont="1" applyFill="1" applyBorder="1" applyAlignment="1">
      <alignment horizontal="center"/>
    </xf>
    <xf numFmtId="0" fontId="32" fillId="4" borderId="3" xfId="0" applyFont="1" applyFill="1" applyBorder="1" applyAlignment="1">
      <alignment horizontal="center"/>
    </xf>
    <xf numFmtId="0" fontId="32" fillId="4" borderId="6" xfId="0" applyFont="1" applyFill="1" applyBorder="1" applyAlignment="1">
      <alignment horizontal="center"/>
    </xf>
    <xf numFmtId="164" fontId="6" fillId="5" borderId="31" xfId="1" applyNumberFormat="1" applyFont="1" applyFill="1" applyBorder="1" applyAlignment="1">
      <alignment horizontal="center" wrapText="1"/>
    </xf>
    <xf numFmtId="164" fontId="6" fillId="5" borderId="2" xfId="1" applyNumberFormat="1" applyFont="1" applyFill="1" applyBorder="1" applyAlignment="1">
      <alignment horizontal="center" wrapText="1"/>
    </xf>
    <xf numFmtId="0" fontId="3" fillId="2" borderId="12" xfId="0" applyFont="1" applyFill="1" applyBorder="1" applyAlignment="1">
      <alignment horizontal="center" wrapText="1"/>
    </xf>
    <xf numFmtId="0" fontId="7" fillId="0" borderId="10" xfId="0" applyFont="1" applyBorder="1" applyAlignment="1">
      <alignment horizontal="left"/>
    </xf>
    <xf numFmtId="0" fontId="7" fillId="0" borderId="0" xfId="0" applyFont="1" applyAlignment="1">
      <alignment horizontal="left"/>
    </xf>
    <xf numFmtId="0" fontId="7" fillId="0" borderId="11" xfId="0" applyFont="1" applyBorder="1" applyAlignment="1">
      <alignment horizontal="left"/>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9534-F4B9-4902-9EE7-3E76C654AF00}">
  <sheetPr codeName="Sheet1">
    <pageSetUpPr fitToPage="1"/>
  </sheetPr>
  <dimension ref="A1:AA194"/>
  <sheetViews>
    <sheetView zoomScaleNormal="100" zoomScalePageLayoutView="85" workbookViewId="0">
      <selection activeCell="E147" sqref="E147"/>
    </sheetView>
  </sheetViews>
  <sheetFormatPr defaultColWidth="15.109375" defaultRowHeight="13.2" x14ac:dyDescent="0.25"/>
  <cols>
    <col min="1" max="2" width="8.88671875" style="3" customWidth="1"/>
    <col min="3" max="3" width="11" style="131" customWidth="1"/>
    <col min="4" max="4" width="10.109375" style="3" customWidth="1"/>
    <col min="5" max="5" width="26.44140625" customWidth="1"/>
    <col min="6" max="6" width="9.5546875" style="3" customWidth="1"/>
    <col min="7" max="7" width="54.5546875" customWidth="1"/>
    <col min="8" max="8" width="8.6640625" style="3" customWidth="1"/>
    <col min="9" max="9" width="13" style="3" customWidth="1"/>
    <col min="10" max="10" width="12.6640625" style="3" customWidth="1"/>
    <col min="11" max="11" width="11.109375" style="3" customWidth="1"/>
    <col min="12" max="12" width="11" style="4" customWidth="1"/>
    <col min="13" max="13" width="11.33203125" style="5" customWidth="1"/>
    <col min="14" max="14" width="11.109375" style="6" customWidth="1"/>
    <col min="15" max="15" width="14.6640625" style="5" customWidth="1"/>
    <col min="16" max="16" width="15.109375" style="60" hidden="1" customWidth="1"/>
    <col min="17" max="17" width="15.109375" style="5" hidden="1" customWidth="1"/>
    <col min="18" max="18" width="19.5546875" style="79" hidden="1" customWidth="1"/>
    <col min="19" max="19" width="14.33203125" style="5" customWidth="1"/>
    <col min="20" max="20" width="9" style="3" customWidth="1"/>
    <col min="21" max="21" width="8.6640625" style="6" customWidth="1"/>
    <col min="22" max="22" width="15.109375" style="75" customWidth="1"/>
    <col min="23" max="23" width="15.109375" style="64" customWidth="1"/>
    <col min="24" max="24" width="15.109375" style="61" customWidth="1"/>
    <col min="25" max="25" width="15.109375" hidden="1" customWidth="1"/>
    <col min="26" max="26" width="15.109375" style="6" hidden="1" customWidth="1"/>
  </cols>
  <sheetData>
    <row r="1" spans="1:26" ht="14.4" x14ac:dyDescent="0.3">
      <c r="A1" s="134"/>
      <c r="B1" s="135"/>
      <c r="C1" s="136"/>
      <c r="D1" s="135"/>
      <c r="E1" s="137"/>
      <c r="F1" s="135"/>
      <c r="G1" s="137"/>
      <c r="H1" s="135"/>
      <c r="I1" s="135"/>
      <c r="J1" s="135"/>
      <c r="K1" s="135"/>
      <c r="L1" s="138"/>
      <c r="M1" s="139"/>
      <c r="N1" s="140"/>
      <c r="O1" s="141"/>
      <c r="P1" s="142"/>
      <c r="Q1" s="141"/>
      <c r="R1" s="143"/>
      <c r="S1" s="139"/>
      <c r="T1" s="135"/>
      <c r="U1" s="140"/>
      <c r="V1" s="144"/>
      <c r="W1" s="159"/>
      <c r="X1" s="145"/>
      <c r="Z1" s="56"/>
    </row>
    <row r="2" spans="1:26" ht="14.4" x14ac:dyDescent="0.3">
      <c r="A2" s="146"/>
      <c r="B2" s="10"/>
      <c r="C2" s="126"/>
      <c r="D2" s="10"/>
      <c r="E2" s="9"/>
      <c r="F2" s="10"/>
      <c r="G2" s="9"/>
      <c r="H2" s="10"/>
      <c r="I2" s="10"/>
      <c r="J2" s="10"/>
      <c r="K2" s="10"/>
      <c r="L2" s="11"/>
      <c r="M2" s="90" t="s">
        <v>26</v>
      </c>
      <c r="N2" s="89">
        <v>67080</v>
      </c>
      <c r="O2" s="44" t="s">
        <v>522</v>
      </c>
      <c r="P2" s="59"/>
      <c r="Q2" s="27"/>
      <c r="R2" s="77"/>
      <c r="S2" s="26"/>
      <c r="T2" s="10"/>
      <c r="U2" s="1"/>
      <c r="V2" s="70"/>
      <c r="W2" s="160"/>
      <c r="X2" s="147"/>
      <c r="Z2" s="57"/>
    </row>
    <row r="3" spans="1:26" x14ac:dyDescent="0.25">
      <c r="A3" s="146"/>
      <c r="B3" s="10"/>
      <c r="C3" s="126"/>
      <c r="D3" s="10"/>
      <c r="E3" s="9"/>
      <c r="F3" s="10"/>
      <c r="G3" s="9"/>
      <c r="H3" s="10"/>
      <c r="I3" s="10"/>
      <c r="J3" s="10"/>
      <c r="K3" s="10"/>
      <c r="L3" s="11"/>
      <c r="M3" s="112"/>
      <c r="N3" s="1"/>
      <c r="O3" s="112"/>
      <c r="P3" s="113"/>
      <c r="Q3" s="112"/>
      <c r="R3" s="114"/>
      <c r="S3" s="112"/>
      <c r="T3" s="10"/>
      <c r="U3" s="1"/>
      <c r="V3" s="70"/>
      <c r="W3" s="161"/>
      <c r="X3" s="147"/>
      <c r="Z3" s="57"/>
    </row>
    <row r="4" spans="1:26" s="25" customFormat="1" ht="63" customHeight="1" x14ac:dyDescent="0.3">
      <c r="A4" s="148" t="s">
        <v>0</v>
      </c>
      <c r="B4" s="117" t="s">
        <v>46</v>
      </c>
      <c r="C4" s="127" t="s">
        <v>523</v>
      </c>
      <c r="D4" s="117" t="s">
        <v>55</v>
      </c>
      <c r="E4" s="118" t="s">
        <v>1</v>
      </c>
      <c r="F4" s="117" t="s">
        <v>2</v>
      </c>
      <c r="G4" s="119" t="s">
        <v>3</v>
      </c>
      <c r="H4" s="120" t="s">
        <v>4</v>
      </c>
      <c r="I4" s="120" t="s">
        <v>49</v>
      </c>
      <c r="J4" s="117" t="s">
        <v>5</v>
      </c>
      <c r="K4" s="120" t="s">
        <v>6</v>
      </c>
      <c r="L4" s="121" t="s">
        <v>7</v>
      </c>
      <c r="M4" s="122" t="s">
        <v>491</v>
      </c>
      <c r="N4" s="123" t="s">
        <v>488</v>
      </c>
      <c r="O4" s="122" t="s">
        <v>8</v>
      </c>
      <c r="P4" s="124" t="s">
        <v>489</v>
      </c>
      <c r="Q4" s="124" t="s">
        <v>493</v>
      </c>
      <c r="R4" s="124" t="s">
        <v>451</v>
      </c>
      <c r="S4" s="122" t="s">
        <v>9</v>
      </c>
      <c r="T4" s="117" t="s">
        <v>10</v>
      </c>
      <c r="U4" s="123" t="s">
        <v>11</v>
      </c>
      <c r="V4" s="125" t="s">
        <v>524</v>
      </c>
      <c r="W4" s="65" t="s">
        <v>458</v>
      </c>
      <c r="X4" s="149" t="s">
        <v>490</v>
      </c>
      <c r="Y4" s="115" t="s">
        <v>400</v>
      </c>
      <c r="Z4" s="116" t="s">
        <v>457</v>
      </c>
    </row>
    <row r="5" spans="1:26" s="33" customFormat="1" ht="16.95" customHeight="1" x14ac:dyDescent="0.3">
      <c r="A5" s="150">
        <f>B5+C5</f>
        <v>386.75</v>
      </c>
      <c r="B5" s="100">
        <f t="shared" ref="B5:B36" si="0">T5*0.15</f>
        <v>12.75</v>
      </c>
      <c r="C5" s="128">
        <v>374</v>
      </c>
      <c r="D5" s="101" t="s">
        <v>56</v>
      </c>
      <c r="E5" s="102" t="s">
        <v>319</v>
      </c>
      <c r="F5" s="102" t="s">
        <v>322</v>
      </c>
      <c r="G5" s="102" t="s">
        <v>323</v>
      </c>
      <c r="H5" s="102" t="s">
        <v>16</v>
      </c>
      <c r="I5" s="102" t="s">
        <v>50</v>
      </c>
      <c r="J5" s="102" t="s">
        <v>144</v>
      </c>
      <c r="K5" s="102" t="s">
        <v>17</v>
      </c>
      <c r="L5" s="103">
        <v>1193</v>
      </c>
      <c r="M5" s="104">
        <v>65909</v>
      </c>
      <c r="N5" s="105">
        <f t="shared" ref="N5:N17" si="1">Y5</f>
        <v>0.55000000000000004</v>
      </c>
      <c r="O5" s="106">
        <v>2099525</v>
      </c>
      <c r="P5" s="107"/>
      <c r="Q5" s="107"/>
      <c r="R5" s="108">
        <f t="shared" ref="R5:R17" si="2">O5-P5-Q5</f>
        <v>2099525</v>
      </c>
      <c r="S5" s="109">
        <f t="shared" ref="S5:S36" si="3">O5-X5</f>
        <v>1679620</v>
      </c>
      <c r="T5" s="102">
        <v>85</v>
      </c>
      <c r="U5" s="62">
        <v>0.2</v>
      </c>
      <c r="V5" s="110">
        <v>0</v>
      </c>
      <c r="W5" s="111">
        <f>ROUNDUP((R5*U5),0)</f>
        <v>419905</v>
      </c>
      <c r="X5" s="151">
        <f t="shared" ref="X5:X36" si="4">V5+W5</f>
        <v>419905</v>
      </c>
      <c r="Y5" s="132">
        <f t="shared" ref="Y5:Y36" si="5">IF(AND(L5&lt;10000,M5&lt;53664),33%,55%)</f>
        <v>0.55000000000000004</v>
      </c>
      <c r="Z5" s="62">
        <f t="shared" ref="Z5:Z36" si="6">IF(T5&gt;=250,0.65,IF(T5&gt;=200,0.6,IF(T5&gt;=185,0.55,IF(T5&gt;=170,0.5,IF(T5&gt;=155,0.45,IF(T5&gt;=140,0.4,IF(T5&gt;=125,0.35,IF(T5&gt;=110,0.3,IF(T5&gt;=95,0.25,IF(T5&gt;=80,0.2,IF(T5&gt;=70,0.15,IF(T5&gt;=60,0.1,IF(T5&lt;60,0)))))))))))))</f>
        <v>0.2</v>
      </c>
    </row>
    <row r="6" spans="1:26" s="8" customFormat="1" ht="16.95" customHeight="1" x14ac:dyDescent="0.3">
      <c r="A6" s="152">
        <f>B6+C6</f>
        <v>386.75</v>
      </c>
      <c r="B6" s="7">
        <f t="shared" si="0"/>
        <v>12.75</v>
      </c>
      <c r="C6" s="88">
        <v>374</v>
      </c>
      <c r="D6" s="54" t="s">
        <v>56</v>
      </c>
      <c r="E6" s="37" t="s">
        <v>319</v>
      </c>
      <c r="F6" s="37" t="s">
        <v>320</v>
      </c>
      <c r="G6" s="37" t="s">
        <v>321</v>
      </c>
      <c r="H6" s="37" t="s">
        <v>16</v>
      </c>
      <c r="I6" s="37" t="s">
        <v>50</v>
      </c>
      <c r="J6" s="37" t="s">
        <v>144</v>
      </c>
      <c r="K6" s="37" t="s">
        <v>17</v>
      </c>
      <c r="L6" s="40">
        <v>1193</v>
      </c>
      <c r="M6" s="42">
        <v>65909</v>
      </c>
      <c r="N6" s="105">
        <f t="shared" si="1"/>
        <v>0.55000000000000004</v>
      </c>
      <c r="O6" s="39">
        <v>1096846</v>
      </c>
      <c r="P6" s="68"/>
      <c r="Q6" s="68"/>
      <c r="R6" s="84">
        <f t="shared" si="2"/>
        <v>1096846</v>
      </c>
      <c r="S6" s="51">
        <f t="shared" si="3"/>
        <v>877476</v>
      </c>
      <c r="T6" s="37">
        <v>85</v>
      </c>
      <c r="U6" s="29">
        <v>0.2</v>
      </c>
      <c r="V6" s="74">
        <v>0</v>
      </c>
      <c r="W6" s="73">
        <f>ROUNDUP((R6*U6),0)</f>
        <v>219370</v>
      </c>
      <c r="X6" s="153">
        <f t="shared" si="4"/>
        <v>219370</v>
      </c>
      <c r="Y6" s="132">
        <f t="shared" si="5"/>
        <v>0.55000000000000004</v>
      </c>
      <c r="Z6" s="62">
        <f t="shared" si="6"/>
        <v>0.2</v>
      </c>
    </row>
    <row r="7" spans="1:26" s="8" customFormat="1" ht="16.95" customHeight="1" x14ac:dyDescent="0.3">
      <c r="A7" s="152">
        <f>B7+C7</f>
        <v>353</v>
      </c>
      <c r="B7" s="7">
        <f t="shared" si="0"/>
        <v>21</v>
      </c>
      <c r="C7" s="88">
        <v>332</v>
      </c>
      <c r="D7" s="54" t="s">
        <v>56</v>
      </c>
      <c r="E7" s="37" t="s">
        <v>57</v>
      </c>
      <c r="F7" s="37" t="s">
        <v>66</v>
      </c>
      <c r="G7" s="37" t="s">
        <v>67</v>
      </c>
      <c r="H7" s="37" t="s">
        <v>12</v>
      </c>
      <c r="I7" s="37" t="s">
        <v>407</v>
      </c>
      <c r="J7" s="37" t="s">
        <v>18</v>
      </c>
      <c r="K7" s="37" t="s">
        <v>60</v>
      </c>
      <c r="L7" s="38">
        <v>1121</v>
      </c>
      <c r="M7" s="39">
        <v>51902</v>
      </c>
      <c r="N7" s="105">
        <f t="shared" si="1"/>
        <v>0.33</v>
      </c>
      <c r="O7" s="39">
        <v>327070</v>
      </c>
      <c r="P7" s="68"/>
      <c r="Q7" s="68"/>
      <c r="R7" s="84">
        <f t="shared" si="2"/>
        <v>327070</v>
      </c>
      <c r="S7" s="51">
        <f t="shared" si="3"/>
        <v>196242</v>
      </c>
      <c r="T7" s="37">
        <v>140</v>
      </c>
      <c r="U7" s="29">
        <v>0.4</v>
      </c>
      <c r="V7" s="74">
        <v>0</v>
      </c>
      <c r="W7" s="73">
        <f>ROUNDUP((R7*U7),0)</f>
        <v>130828</v>
      </c>
      <c r="X7" s="153">
        <f t="shared" si="4"/>
        <v>130828</v>
      </c>
      <c r="Y7" s="132">
        <f t="shared" si="5"/>
        <v>0.33</v>
      </c>
      <c r="Z7" s="62">
        <f t="shared" si="6"/>
        <v>0.4</v>
      </c>
    </row>
    <row r="8" spans="1:26" ht="16.95" customHeight="1" x14ac:dyDescent="0.3">
      <c r="A8" s="198">
        <v>347.75</v>
      </c>
      <c r="B8" s="199">
        <f t="shared" si="0"/>
        <v>27.75</v>
      </c>
      <c r="C8" s="199">
        <v>320</v>
      </c>
      <c r="D8" s="259" t="s">
        <v>56</v>
      </c>
      <c r="E8" s="28" t="s">
        <v>581</v>
      </c>
      <c r="F8" s="28" t="s">
        <v>582</v>
      </c>
      <c r="G8" s="37" t="s">
        <v>583</v>
      </c>
      <c r="H8" s="28" t="s">
        <v>12</v>
      </c>
      <c r="I8" s="28" t="s">
        <v>413</v>
      </c>
      <c r="J8" s="259" t="s">
        <v>14</v>
      </c>
      <c r="K8" s="28" t="s">
        <v>13</v>
      </c>
      <c r="L8" s="38">
        <v>1549</v>
      </c>
      <c r="M8" s="39">
        <v>45811</v>
      </c>
      <c r="N8" s="105">
        <f t="shared" si="1"/>
        <v>0.33</v>
      </c>
      <c r="O8" s="39">
        <v>870585</v>
      </c>
      <c r="P8" s="68"/>
      <c r="Q8" s="68"/>
      <c r="R8" s="78">
        <f t="shared" si="2"/>
        <v>870585</v>
      </c>
      <c r="S8" s="50">
        <f t="shared" si="3"/>
        <v>870585</v>
      </c>
      <c r="T8" s="28">
        <v>185</v>
      </c>
      <c r="U8" s="29">
        <v>0.55000000000000004</v>
      </c>
      <c r="V8" s="74">
        <v>0</v>
      </c>
      <c r="W8" s="73">
        <v>0</v>
      </c>
      <c r="X8" s="153">
        <f t="shared" si="4"/>
        <v>0</v>
      </c>
      <c r="Y8" s="132">
        <f t="shared" si="5"/>
        <v>0.33</v>
      </c>
      <c r="Z8" s="62">
        <f t="shared" si="6"/>
        <v>0.55000000000000004</v>
      </c>
    </row>
    <row r="9" spans="1:26" s="8" customFormat="1" ht="16.95" customHeight="1" x14ac:dyDescent="0.3">
      <c r="A9" s="152">
        <f t="shared" ref="A9:A40" si="7">B9+C9</f>
        <v>281.5</v>
      </c>
      <c r="B9" s="7">
        <f t="shared" si="0"/>
        <v>4.5</v>
      </c>
      <c r="C9" s="88">
        <v>277</v>
      </c>
      <c r="D9" s="45" t="s">
        <v>63</v>
      </c>
      <c r="E9" s="45" t="s">
        <v>495</v>
      </c>
      <c r="F9" s="45" t="s">
        <v>328</v>
      </c>
      <c r="G9" s="37" t="s">
        <v>329</v>
      </c>
      <c r="H9" s="37" t="s">
        <v>12</v>
      </c>
      <c r="I9" s="37" t="s">
        <v>426</v>
      </c>
      <c r="J9" s="37" t="s">
        <v>327</v>
      </c>
      <c r="K9" s="37" t="s">
        <v>60</v>
      </c>
      <c r="L9" s="38">
        <v>7253</v>
      </c>
      <c r="M9" s="39">
        <v>81004</v>
      </c>
      <c r="N9" s="105">
        <f t="shared" si="1"/>
        <v>0.55000000000000004</v>
      </c>
      <c r="O9" s="39">
        <v>14711850</v>
      </c>
      <c r="P9" s="68">
        <v>7000000</v>
      </c>
      <c r="Q9" s="68"/>
      <c r="R9" s="84">
        <f t="shared" si="2"/>
        <v>7711850</v>
      </c>
      <c r="S9" s="51">
        <f t="shared" si="3"/>
        <v>11211850</v>
      </c>
      <c r="T9" s="37">
        <v>30</v>
      </c>
      <c r="U9" s="29">
        <v>0</v>
      </c>
      <c r="V9" s="74">
        <v>3500000</v>
      </c>
      <c r="W9" s="73">
        <f t="shared" ref="W9:W14" si="8">ROUNDUP((R9*U9),0)</f>
        <v>0</v>
      </c>
      <c r="X9" s="153">
        <f t="shared" si="4"/>
        <v>3500000</v>
      </c>
      <c r="Y9" s="132">
        <f t="shared" si="5"/>
        <v>0.55000000000000004</v>
      </c>
      <c r="Z9" s="62">
        <f t="shared" si="6"/>
        <v>0</v>
      </c>
    </row>
    <row r="10" spans="1:26" s="8" customFormat="1" ht="16.95" customHeight="1" x14ac:dyDescent="0.3">
      <c r="A10" s="152">
        <f t="shared" si="7"/>
        <v>267</v>
      </c>
      <c r="B10" s="7">
        <f t="shared" si="0"/>
        <v>3</v>
      </c>
      <c r="C10" s="88">
        <v>264</v>
      </c>
      <c r="D10" s="54" t="s">
        <v>63</v>
      </c>
      <c r="E10" s="37" t="s">
        <v>478</v>
      </c>
      <c r="F10" s="37" t="s">
        <v>386</v>
      </c>
      <c r="G10" s="37" t="s">
        <v>450</v>
      </c>
      <c r="H10" s="37" t="s">
        <v>12</v>
      </c>
      <c r="I10" s="37" t="s">
        <v>426</v>
      </c>
      <c r="J10" s="37" t="s">
        <v>14</v>
      </c>
      <c r="K10" s="37" t="s">
        <v>60</v>
      </c>
      <c r="L10" s="38">
        <v>15809</v>
      </c>
      <c r="M10" s="39">
        <v>73129</v>
      </c>
      <c r="N10" s="105">
        <f t="shared" si="1"/>
        <v>0.55000000000000004</v>
      </c>
      <c r="O10" s="39">
        <v>6348998</v>
      </c>
      <c r="P10" s="68">
        <v>6348998</v>
      </c>
      <c r="Q10" s="68"/>
      <c r="R10" s="84">
        <f t="shared" si="2"/>
        <v>0</v>
      </c>
      <c r="S10" s="51">
        <f t="shared" si="3"/>
        <v>3174499</v>
      </c>
      <c r="T10" s="37">
        <v>20</v>
      </c>
      <c r="U10" s="29">
        <v>0</v>
      </c>
      <c r="V10" s="74">
        <v>3174499</v>
      </c>
      <c r="W10" s="73">
        <f t="shared" si="8"/>
        <v>0</v>
      </c>
      <c r="X10" s="153">
        <f t="shared" si="4"/>
        <v>3174499</v>
      </c>
      <c r="Y10" s="132">
        <f t="shared" si="5"/>
        <v>0.55000000000000004</v>
      </c>
      <c r="Z10" s="62">
        <f t="shared" si="6"/>
        <v>0</v>
      </c>
    </row>
    <row r="11" spans="1:26" s="8" customFormat="1" ht="16.95" customHeight="1" x14ac:dyDescent="0.3">
      <c r="A11" s="152">
        <f t="shared" si="7"/>
        <v>236.75</v>
      </c>
      <c r="B11" s="7">
        <f t="shared" si="0"/>
        <v>42.75</v>
      </c>
      <c r="C11" s="88">
        <v>194</v>
      </c>
      <c r="D11" s="54" t="s">
        <v>63</v>
      </c>
      <c r="E11" s="37" t="s">
        <v>496</v>
      </c>
      <c r="F11" s="37" t="s">
        <v>64</v>
      </c>
      <c r="G11" s="37" t="s">
        <v>65</v>
      </c>
      <c r="H11" s="37" t="s">
        <v>12</v>
      </c>
      <c r="I11" s="37" t="s">
        <v>409</v>
      </c>
      <c r="J11" s="37" t="s">
        <v>18</v>
      </c>
      <c r="K11" s="37" t="s">
        <v>13</v>
      </c>
      <c r="L11" s="38">
        <v>1755</v>
      </c>
      <c r="M11" s="39">
        <v>34635</v>
      </c>
      <c r="N11" s="105">
        <f t="shared" si="1"/>
        <v>0.33</v>
      </c>
      <c r="O11" s="39">
        <v>5202600</v>
      </c>
      <c r="P11" s="68">
        <v>5202600</v>
      </c>
      <c r="Q11" s="68"/>
      <c r="R11" s="84">
        <f t="shared" si="2"/>
        <v>0</v>
      </c>
      <c r="S11" s="51">
        <f t="shared" si="3"/>
        <v>1820910</v>
      </c>
      <c r="T11" s="37">
        <v>285</v>
      </c>
      <c r="U11" s="29">
        <v>0.65</v>
      </c>
      <c r="V11" s="74">
        <v>3381690</v>
      </c>
      <c r="W11" s="73">
        <f t="shared" si="8"/>
        <v>0</v>
      </c>
      <c r="X11" s="153">
        <f t="shared" si="4"/>
        <v>3381690</v>
      </c>
      <c r="Y11" s="132">
        <f t="shared" si="5"/>
        <v>0.33</v>
      </c>
      <c r="Z11" s="62">
        <f t="shared" si="6"/>
        <v>0.65</v>
      </c>
    </row>
    <row r="12" spans="1:26" s="8" customFormat="1" ht="16.95" customHeight="1" x14ac:dyDescent="0.3">
      <c r="A12" s="152">
        <f t="shared" si="7"/>
        <v>159.75</v>
      </c>
      <c r="B12" s="7">
        <f t="shared" si="0"/>
        <v>3.75</v>
      </c>
      <c r="C12" s="88">
        <v>156</v>
      </c>
      <c r="D12" s="54" t="s">
        <v>63</v>
      </c>
      <c r="E12" s="37" t="s">
        <v>459</v>
      </c>
      <c r="F12" s="37" t="s">
        <v>232</v>
      </c>
      <c r="G12" s="37" t="s">
        <v>233</v>
      </c>
      <c r="H12" s="37" t="s">
        <v>15</v>
      </c>
      <c r="I12" s="37" t="s">
        <v>51</v>
      </c>
      <c r="J12" s="37" t="s">
        <v>22</v>
      </c>
      <c r="K12" s="37" t="s">
        <v>39</v>
      </c>
      <c r="L12" s="40">
        <v>279012</v>
      </c>
      <c r="M12" s="42">
        <v>70466</v>
      </c>
      <c r="N12" s="105">
        <f t="shared" si="1"/>
        <v>0.55000000000000004</v>
      </c>
      <c r="O12" s="39">
        <v>5900000</v>
      </c>
      <c r="P12" s="68">
        <v>5900000</v>
      </c>
      <c r="Q12" s="68"/>
      <c r="R12" s="84">
        <f t="shared" si="2"/>
        <v>0</v>
      </c>
      <c r="S12" s="51">
        <f t="shared" si="3"/>
        <v>2950000</v>
      </c>
      <c r="T12" s="37">
        <v>25</v>
      </c>
      <c r="U12" s="29">
        <v>0</v>
      </c>
      <c r="V12" s="74">
        <v>2950000</v>
      </c>
      <c r="W12" s="73">
        <f t="shared" si="8"/>
        <v>0</v>
      </c>
      <c r="X12" s="153">
        <f t="shared" si="4"/>
        <v>2950000</v>
      </c>
      <c r="Y12" s="132">
        <f t="shared" si="5"/>
        <v>0.55000000000000004</v>
      </c>
      <c r="Z12" s="62">
        <f t="shared" si="6"/>
        <v>0</v>
      </c>
    </row>
    <row r="13" spans="1:26" s="8" customFormat="1" ht="16.95" customHeight="1" x14ac:dyDescent="0.3">
      <c r="A13" s="152">
        <f t="shared" si="7"/>
        <v>149.75</v>
      </c>
      <c r="B13" s="7">
        <f t="shared" si="0"/>
        <v>12.75</v>
      </c>
      <c r="C13" s="88">
        <v>137</v>
      </c>
      <c r="D13" s="54" t="s">
        <v>56</v>
      </c>
      <c r="E13" s="37" t="s">
        <v>388</v>
      </c>
      <c r="F13" s="37" t="s">
        <v>389</v>
      </c>
      <c r="G13" s="37" t="s">
        <v>390</v>
      </c>
      <c r="H13" s="37" t="s">
        <v>12</v>
      </c>
      <c r="I13" s="37" t="s">
        <v>407</v>
      </c>
      <c r="J13" s="37" t="s">
        <v>89</v>
      </c>
      <c r="K13" s="37" t="s">
        <v>60</v>
      </c>
      <c r="L13" s="40">
        <v>1598</v>
      </c>
      <c r="M13" s="41">
        <v>65208</v>
      </c>
      <c r="N13" s="105">
        <f t="shared" si="1"/>
        <v>0.55000000000000004</v>
      </c>
      <c r="O13" s="39">
        <v>756400</v>
      </c>
      <c r="P13" s="68"/>
      <c r="Q13" s="68"/>
      <c r="R13" s="84">
        <f t="shared" si="2"/>
        <v>756400</v>
      </c>
      <c r="S13" s="51">
        <f t="shared" si="3"/>
        <v>605120</v>
      </c>
      <c r="T13" s="37">
        <v>85</v>
      </c>
      <c r="U13" s="29">
        <v>0.2</v>
      </c>
      <c r="V13" s="74">
        <v>0</v>
      </c>
      <c r="W13" s="73">
        <f t="shared" si="8"/>
        <v>151280</v>
      </c>
      <c r="X13" s="153">
        <f t="shared" si="4"/>
        <v>151280</v>
      </c>
      <c r="Y13" s="132">
        <f t="shared" si="5"/>
        <v>0.55000000000000004</v>
      </c>
      <c r="Z13" s="62">
        <f t="shared" si="6"/>
        <v>0.2</v>
      </c>
    </row>
    <row r="14" spans="1:26" s="8" customFormat="1" ht="16.95" customHeight="1" x14ac:dyDescent="0.3">
      <c r="A14" s="152">
        <f t="shared" si="7"/>
        <v>145.75</v>
      </c>
      <c r="B14" s="7">
        <f t="shared" si="0"/>
        <v>3.75</v>
      </c>
      <c r="C14" s="88">
        <v>142</v>
      </c>
      <c r="D14" s="54" t="s">
        <v>63</v>
      </c>
      <c r="E14" s="46" t="s">
        <v>498</v>
      </c>
      <c r="F14" s="46" t="s">
        <v>330</v>
      </c>
      <c r="G14" s="46" t="s">
        <v>331</v>
      </c>
      <c r="H14" s="37" t="s">
        <v>12</v>
      </c>
      <c r="I14" s="46" t="s">
        <v>426</v>
      </c>
      <c r="J14" s="37" t="s">
        <v>20</v>
      </c>
      <c r="K14" s="46" t="s">
        <v>60</v>
      </c>
      <c r="L14" s="40">
        <v>5581</v>
      </c>
      <c r="M14" s="41">
        <v>77917</v>
      </c>
      <c r="N14" s="105">
        <f t="shared" si="1"/>
        <v>0.55000000000000004</v>
      </c>
      <c r="O14" s="49">
        <v>8453699</v>
      </c>
      <c r="P14" s="68">
        <v>7000000</v>
      </c>
      <c r="Q14" s="69"/>
      <c r="R14" s="84">
        <f t="shared" si="2"/>
        <v>1453699</v>
      </c>
      <c r="S14" s="51">
        <f t="shared" si="3"/>
        <v>4953699</v>
      </c>
      <c r="T14" s="46">
        <v>25</v>
      </c>
      <c r="U14" s="29">
        <v>0</v>
      </c>
      <c r="V14" s="74">
        <v>3500000</v>
      </c>
      <c r="W14" s="73">
        <f t="shared" si="8"/>
        <v>0</v>
      </c>
      <c r="X14" s="153">
        <f t="shared" si="4"/>
        <v>3500000</v>
      </c>
      <c r="Y14" s="132">
        <f t="shared" si="5"/>
        <v>0.55000000000000004</v>
      </c>
      <c r="Z14" s="62">
        <f t="shared" si="6"/>
        <v>0</v>
      </c>
    </row>
    <row r="15" spans="1:26" s="8" customFormat="1" ht="16.95" customHeight="1" x14ac:dyDescent="0.3">
      <c r="A15" s="152">
        <f t="shared" si="7"/>
        <v>131.5</v>
      </c>
      <c r="B15" s="7">
        <f t="shared" si="0"/>
        <v>13.5</v>
      </c>
      <c r="C15" s="88">
        <v>118</v>
      </c>
      <c r="D15" s="54" t="s">
        <v>63</v>
      </c>
      <c r="E15" s="37" t="s">
        <v>468</v>
      </c>
      <c r="F15" s="37" t="s">
        <v>376</v>
      </c>
      <c r="G15" s="37" t="s">
        <v>377</v>
      </c>
      <c r="H15" s="37" t="s">
        <v>12</v>
      </c>
      <c r="I15" s="37" t="s">
        <v>426</v>
      </c>
      <c r="J15" s="37" t="s">
        <v>20</v>
      </c>
      <c r="K15" s="37" t="s">
        <v>60</v>
      </c>
      <c r="L15" s="40">
        <v>40199</v>
      </c>
      <c r="M15" s="41">
        <v>53800</v>
      </c>
      <c r="N15" s="105">
        <f t="shared" si="1"/>
        <v>0.55000000000000004</v>
      </c>
      <c r="O15" s="39">
        <v>1767178</v>
      </c>
      <c r="P15" s="68"/>
      <c r="Q15" s="68"/>
      <c r="R15" s="84">
        <f t="shared" si="2"/>
        <v>1767178</v>
      </c>
      <c r="S15" s="51">
        <f t="shared" si="3"/>
        <v>1767178</v>
      </c>
      <c r="T15" s="37">
        <v>90</v>
      </c>
      <c r="U15" s="29">
        <v>0.2</v>
      </c>
      <c r="V15" s="74"/>
      <c r="W15" s="73">
        <v>0</v>
      </c>
      <c r="X15" s="153">
        <f t="shared" si="4"/>
        <v>0</v>
      </c>
      <c r="Y15" s="132">
        <f t="shared" si="5"/>
        <v>0.55000000000000004</v>
      </c>
      <c r="Z15" s="62">
        <f t="shared" si="6"/>
        <v>0.2</v>
      </c>
    </row>
    <row r="16" spans="1:26" s="8" customFormat="1" ht="16.95" customHeight="1" x14ac:dyDescent="0.3">
      <c r="A16" s="152">
        <f t="shared" si="7"/>
        <v>131.5</v>
      </c>
      <c r="B16" s="7">
        <f t="shared" si="0"/>
        <v>13.5</v>
      </c>
      <c r="C16" s="88">
        <v>118</v>
      </c>
      <c r="D16" s="54" t="s">
        <v>63</v>
      </c>
      <c r="E16" s="37" t="s">
        <v>480</v>
      </c>
      <c r="F16" s="37" t="s">
        <v>379</v>
      </c>
      <c r="G16" s="37" t="s">
        <v>380</v>
      </c>
      <c r="H16" s="37" t="s">
        <v>12</v>
      </c>
      <c r="I16" s="37" t="s">
        <v>426</v>
      </c>
      <c r="J16" s="37" t="s">
        <v>20</v>
      </c>
      <c r="K16" s="37" t="s">
        <v>60</v>
      </c>
      <c r="L16" s="40">
        <v>40199</v>
      </c>
      <c r="M16" s="41">
        <v>53800</v>
      </c>
      <c r="N16" s="105">
        <f t="shared" si="1"/>
        <v>0.55000000000000004</v>
      </c>
      <c r="O16" s="39">
        <v>17400938</v>
      </c>
      <c r="P16" s="68">
        <v>7000000</v>
      </c>
      <c r="Q16" s="68"/>
      <c r="R16" s="84">
        <f t="shared" si="2"/>
        <v>10400938</v>
      </c>
      <c r="S16" s="51">
        <f t="shared" si="3"/>
        <v>12300938</v>
      </c>
      <c r="T16" s="37">
        <v>90</v>
      </c>
      <c r="U16" s="29">
        <v>0.2</v>
      </c>
      <c r="V16" s="74">
        <v>3500000</v>
      </c>
      <c r="W16" s="73">
        <v>1600000</v>
      </c>
      <c r="X16" s="153">
        <f t="shared" si="4"/>
        <v>5100000</v>
      </c>
      <c r="Y16" s="132">
        <f t="shared" si="5"/>
        <v>0.55000000000000004</v>
      </c>
      <c r="Z16" s="62">
        <f t="shared" si="6"/>
        <v>0.2</v>
      </c>
    </row>
    <row r="17" spans="1:26" s="8" customFormat="1" ht="16.95" customHeight="1" x14ac:dyDescent="0.3">
      <c r="A17" s="152">
        <f t="shared" si="7"/>
        <v>123.25</v>
      </c>
      <c r="B17" s="7">
        <f t="shared" si="0"/>
        <v>32.25</v>
      </c>
      <c r="C17" s="88">
        <v>91</v>
      </c>
      <c r="D17" s="54" t="s">
        <v>56</v>
      </c>
      <c r="E17" s="37" t="s">
        <v>484</v>
      </c>
      <c r="F17" s="37" t="s">
        <v>94</v>
      </c>
      <c r="G17" s="37" t="s">
        <v>95</v>
      </c>
      <c r="H17" s="37" t="s">
        <v>21</v>
      </c>
      <c r="I17" s="37" t="s">
        <v>415</v>
      </c>
      <c r="J17" s="37" t="s">
        <v>75</v>
      </c>
      <c r="K17" s="37" t="s">
        <v>60</v>
      </c>
      <c r="L17" s="38">
        <v>914</v>
      </c>
      <c r="M17" s="39">
        <v>44965</v>
      </c>
      <c r="N17" s="105">
        <f t="shared" si="1"/>
        <v>0.33</v>
      </c>
      <c r="O17" s="39">
        <v>7500050</v>
      </c>
      <c r="P17" s="68"/>
      <c r="Q17" s="68"/>
      <c r="R17" s="84">
        <f t="shared" si="2"/>
        <v>7500050</v>
      </c>
      <c r="S17" s="51">
        <f t="shared" si="3"/>
        <v>5900050</v>
      </c>
      <c r="T17" s="37">
        <v>215</v>
      </c>
      <c r="U17" s="29">
        <v>0.6</v>
      </c>
      <c r="V17" s="74">
        <v>0</v>
      </c>
      <c r="W17" s="73">
        <v>1600000</v>
      </c>
      <c r="X17" s="153">
        <f t="shared" si="4"/>
        <v>1600000</v>
      </c>
      <c r="Y17" s="132">
        <f t="shared" si="5"/>
        <v>0.33</v>
      </c>
      <c r="Z17" s="62">
        <f t="shared" si="6"/>
        <v>0.6</v>
      </c>
    </row>
    <row r="18" spans="1:26" s="8" customFormat="1" ht="16.95" customHeight="1" x14ac:dyDescent="0.3">
      <c r="A18" s="152">
        <f t="shared" si="7"/>
        <v>122.75</v>
      </c>
      <c r="B18" s="7">
        <f t="shared" si="0"/>
        <v>3.75</v>
      </c>
      <c r="C18" s="88">
        <v>119</v>
      </c>
      <c r="D18" s="54" t="s">
        <v>68</v>
      </c>
      <c r="E18" s="37" t="s">
        <v>589</v>
      </c>
      <c r="F18" s="37" t="s">
        <v>164</v>
      </c>
      <c r="G18" s="37" t="s">
        <v>598</v>
      </c>
      <c r="H18" s="37" t="s">
        <v>19</v>
      </c>
      <c r="I18" s="37" t="s">
        <v>427</v>
      </c>
      <c r="J18" s="37" t="s">
        <v>42</v>
      </c>
      <c r="K18" s="37" t="s">
        <v>38</v>
      </c>
      <c r="L18" s="40">
        <v>10317</v>
      </c>
      <c r="M18" s="42">
        <v>68339</v>
      </c>
      <c r="N18" s="317" t="s">
        <v>456</v>
      </c>
      <c r="O18" s="39">
        <v>211291</v>
      </c>
      <c r="P18" s="68"/>
      <c r="Q18" s="68">
        <v>66108</v>
      </c>
      <c r="R18" s="84">
        <f>O18-P18-Q18+Z18</f>
        <v>145183</v>
      </c>
      <c r="S18" s="51">
        <f t="shared" si="3"/>
        <v>178237</v>
      </c>
      <c r="T18" s="37">
        <v>25</v>
      </c>
      <c r="U18" s="29">
        <v>0</v>
      </c>
      <c r="V18" s="74">
        <v>33054</v>
      </c>
      <c r="W18" s="73">
        <f>ROUNDUP((R18*U18),0)</f>
        <v>0</v>
      </c>
      <c r="X18" s="153">
        <f t="shared" si="4"/>
        <v>33054</v>
      </c>
      <c r="Y18" s="132">
        <f t="shared" si="5"/>
        <v>0.55000000000000004</v>
      </c>
      <c r="Z18" s="62">
        <f t="shared" si="6"/>
        <v>0</v>
      </c>
    </row>
    <row r="19" spans="1:26" s="8" customFormat="1" ht="16.95" customHeight="1" x14ac:dyDescent="0.3">
      <c r="A19" s="152">
        <f t="shared" si="7"/>
        <v>107.75</v>
      </c>
      <c r="B19" s="7">
        <f t="shared" si="0"/>
        <v>21.75</v>
      </c>
      <c r="C19" s="88">
        <v>86</v>
      </c>
      <c r="D19" s="54" t="s">
        <v>56</v>
      </c>
      <c r="E19" s="37" t="s">
        <v>110</v>
      </c>
      <c r="F19" s="37" t="s">
        <v>111</v>
      </c>
      <c r="G19" s="37" t="s">
        <v>112</v>
      </c>
      <c r="H19" s="37" t="s">
        <v>21</v>
      </c>
      <c r="I19" s="37" t="s">
        <v>419</v>
      </c>
      <c r="J19" s="37" t="s">
        <v>113</v>
      </c>
      <c r="K19" s="37" t="s">
        <v>60</v>
      </c>
      <c r="L19" s="38">
        <v>402</v>
      </c>
      <c r="M19" s="39">
        <v>54063</v>
      </c>
      <c r="N19" s="105">
        <f>Y19</f>
        <v>0.55000000000000004</v>
      </c>
      <c r="O19" s="39">
        <v>207437</v>
      </c>
      <c r="P19" s="68"/>
      <c r="Q19" s="68"/>
      <c r="R19" s="84">
        <f t="shared" ref="R19:R50" si="9">O19-P19-Q19</f>
        <v>207437</v>
      </c>
      <c r="S19" s="51">
        <f t="shared" si="3"/>
        <v>124462</v>
      </c>
      <c r="T19" s="37">
        <v>145</v>
      </c>
      <c r="U19" s="29">
        <v>0.4</v>
      </c>
      <c r="V19" s="74">
        <v>0</v>
      </c>
      <c r="W19" s="73">
        <v>82975</v>
      </c>
      <c r="X19" s="153">
        <f t="shared" si="4"/>
        <v>82975</v>
      </c>
      <c r="Y19" s="132">
        <f t="shared" si="5"/>
        <v>0.55000000000000004</v>
      </c>
      <c r="Z19" s="62">
        <f t="shared" si="6"/>
        <v>0.4</v>
      </c>
    </row>
    <row r="20" spans="1:26" s="8" customFormat="1" ht="16.95" customHeight="1" x14ac:dyDescent="0.3">
      <c r="A20" s="152">
        <f t="shared" si="7"/>
        <v>107</v>
      </c>
      <c r="B20" s="7">
        <f t="shared" si="0"/>
        <v>12</v>
      </c>
      <c r="C20" s="88">
        <v>95</v>
      </c>
      <c r="D20" s="54" t="s">
        <v>68</v>
      </c>
      <c r="E20" s="37" t="s">
        <v>470</v>
      </c>
      <c r="F20" s="37" t="s">
        <v>234</v>
      </c>
      <c r="G20" s="37" t="s">
        <v>235</v>
      </c>
      <c r="H20" s="37" t="s">
        <v>16</v>
      </c>
      <c r="I20" s="37" t="s">
        <v>50</v>
      </c>
      <c r="J20" s="37" t="s">
        <v>14</v>
      </c>
      <c r="K20" s="37" t="s">
        <v>17</v>
      </c>
      <c r="L20" s="40">
        <v>34722</v>
      </c>
      <c r="M20" s="42">
        <v>54767</v>
      </c>
      <c r="N20" s="317" t="s">
        <v>456</v>
      </c>
      <c r="O20" s="39">
        <v>1360000</v>
      </c>
      <c r="P20" s="68"/>
      <c r="Q20" s="68">
        <v>1360000</v>
      </c>
      <c r="R20" s="84">
        <f t="shared" si="9"/>
        <v>0</v>
      </c>
      <c r="S20" s="51">
        <f t="shared" si="3"/>
        <v>680000</v>
      </c>
      <c r="T20" s="37">
        <v>80</v>
      </c>
      <c r="U20" s="29">
        <v>0.2</v>
      </c>
      <c r="V20" s="74">
        <v>680000</v>
      </c>
      <c r="W20" s="73">
        <f>ROUNDUP((R20*U20),0)</f>
        <v>0</v>
      </c>
      <c r="X20" s="153">
        <f t="shared" si="4"/>
        <v>680000</v>
      </c>
      <c r="Y20" s="132">
        <f t="shared" si="5"/>
        <v>0.55000000000000004</v>
      </c>
      <c r="Z20" s="62">
        <f t="shared" si="6"/>
        <v>0.2</v>
      </c>
    </row>
    <row r="21" spans="1:26" s="8" customFormat="1" ht="16.95" customHeight="1" x14ac:dyDescent="0.3">
      <c r="A21" s="152">
        <f t="shared" si="7"/>
        <v>107</v>
      </c>
      <c r="B21" s="7">
        <f t="shared" si="0"/>
        <v>12</v>
      </c>
      <c r="C21" s="88">
        <v>95</v>
      </c>
      <c r="D21" s="54" t="s">
        <v>68</v>
      </c>
      <c r="E21" s="37" t="s">
        <v>470</v>
      </c>
      <c r="F21" s="37" t="s">
        <v>237</v>
      </c>
      <c r="G21" s="37" t="s">
        <v>599</v>
      </c>
      <c r="H21" s="37" t="s">
        <v>16</v>
      </c>
      <c r="I21" s="37" t="s">
        <v>50</v>
      </c>
      <c r="J21" s="37" t="s">
        <v>14</v>
      </c>
      <c r="K21" s="37" t="s">
        <v>17</v>
      </c>
      <c r="L21" s="40">
        <v>34722</v>
      </c>
      <c r="M21" s="42">
        <v>54767</v>
      </c>
      <c r="N21" s="317" t="s">
        <v>456</v>
      </c>
      <c r="O21" s="39">
        <v>4450000</v>
      </c>
      <c r="P21" s="68"/>
      <c r="Q21" s="68">
        <v>4450000</v>
      </c>
      <c r="R21" s="84">
        <f t="shared" si="9"/>
        <v>0</v>
      </c>
      <c r="S21" s="51">
        <f t="shared" si="3"/>
        <v>0</v>
      </c>
      <c r="T21" s="37">
        <v>80</v>
      </c>
      <c r="U21" s="29">
        <v>0.2</v>
      </c>
      <c r="V21" s="74">
        <v>4450000</v>
      </c>
      <c r="W21" s="73">
        <f>ROUNDUP((R21*U21),0)</f>
        <v>0</v>
      </c>
      <c r="X21" s="153">
        <f t="shared" si="4"/>
        <v>4450000</v>
      </c>
      <c r="Y21" s="132">
        <f t="shared" si="5"/>
        <v>0.55000000000000004</v>
      </c>
      <c r="Z21" s="62">
        <f t="shared" si="6"/>
        <v>0.2</v>
      </c>
    </row>
    <row r="22" spans="1:26" s="8" customFormat="1" ht="16.95" customHeight="1" x14ac:dyDescent="0.3">
      <c r="A22" s="152">
        <f t="shared" si="7"/>
        <v>107</v>
      </c>
      <c r="B22" s="7">
        <f t="shared" si="0"/>
        <v>12</v>
      </c>
      <c r="C22" s="88">
        <v>95</v>
      </c>
      <c r="D22" s="54" t="s">
        <v>68</v>
      </c>
      <c r="E22" s="37" t="s">
        <v>470</v>
      </c>
      <c r="F22" s="37" t="s">
        <v>236</v>
      </c>
      <c r="G22" s="37" t="s">
        <v>600</v>
      </c>
      <c r="H22" s="37" t="s">
        <v>16</v>
      </c>
      <c r="I22" s="37" t="s">
        <v>50</v>
      </c>
      <c r="J22" s="37" t="s">
        <v>14</v>
      </c>
      <c r="K22" s="37" t="s">
        <v>17</v>
      </c>
      <c r="L22" s="40">
        <v>34722</v>
      </c>
      <c r="M22" s="42">
        <v>54767</v>
      </c>
      <c r="N22" s="317" t="s">
        <v>456</v>
      </c>
      <c r="O22" s="39">
        <v>4208000</v>
      </c>
      <c r="P22" s="68"/>
      <c r="Q22" s="68">
        <v>4208000</v>
      </c>
      <c r="R22" s="84">
        <f t="shared" si="9"/>
        <v>0</v>
      </c>
      <c r="S22" s="51">
        <f t="shared" si="3"/>
        <v>1052000</v>
      </c>
      <c r="T22" s="37">
        <v>80</v>
      </c>
      <c r="U22" s="29">
        <v>0.2</v>
      </c>
      <c r="V22" s="74">
        <v>3156000</v>
      </c>
      <c r="W22" s="73">
        <f>ROUNDUP((R22*U22),0)</f>
        <v>0</v>
      </c>
      <c r="X22" s="153">
        <f t="shared" si="4"/>
        <v>3156000</v>
      </c>
      <c r="Y22" s="132">
        <f t="shared" si="5"/>
        <v>0.55000000000000004</v>
      </c>
      <c r="Z22" s="62">
        <f t="shared" si="6"/>
        <v>0.2</v>
      </c>
    </row>
    <row r="23" spans="1:26" s="8" customFormat="1" ht="16.95" customHeight="1" x14ac:dyDescent="0.3">
      <c r="A23" s="152">
        <f t="shared" si="7"/>
        <v>106.75</v>
      </c>
      <c r="B23" s="7">
        <f t="shared" si="0"/>
        <v>24.75</v>
      </c>
      <c r="C23" s="88">
        <v>82</v>
      </c>
      <c r="D23" s="54" t="s">
        <v>56</v>
      </c>
      <c r="E23" s="37" t="s">
        <v>481</v>
      </c>
      <c r="F23" s="37" t="s">
        <v>81</v>
      </c>
      <c r="G23" s="37" t="s">
        <v>82</v>
      </c>
      <c r="H23" s="37" t="s">
        <v>21</v>
      </c>
      <c r="I23" s="37" t="s">
        <v>406</v>
      </c>
      <c r="J23" s="37" t="s">
        <v>78</v>
      </c>
      <c r="K23" s="37" t="s">
        <v>60</v>
      </c>
      <c r="L23" s="38">
        <v>7819</v>
      </c>
      <c r="M23" s="39">
        <v>50053</v>
      </c>
      <c r="N23" s="105">
        <f>Y23</f>
        <v>0.33</v>
      </c>
      <c r="O23" s="39">
        <v>11530000</v>
      </c>
      <c r="P23" s="68"/>
      <c r="Q23" s="68"/>
      <c r="R23" s="84">
        <f t="shared" si="9"/>
        <v>11530000</v>
      </c>
      <c r="S23" s="51">
        <f t="shared" si="3"/>
        <v>9930000</v>
      </c>
      <c r="T23" s="37">
        <v>165</v>
      </c>
      <c r="U23" s="29">
        <v>0.45</v>
      </c>
      <c r="V23" s="74">
        <v>0</v>
      </c>
      <c r="W23" s="73">
        <v>1600000</v>
      </c>
      <c r="X23" s="153">
        <f t="shared" si="4"/>
        <v>1600000</v>
      </c>
      <c r="Y23" s="132">
        <f t="shared" si="5"/>
        <v>0.33</v>
      </c>
      <c r="Z23" s="62">
        <f t="shared" si="6"/>
        <v>0.45</v>
      </c>
    </row>
    <row r="24" spans="1:26" s="8" customFormat="1" ht="16.95" customHeight="1" x14ac:dyDescent="0.3">
      <c r="A24" s="152">
        <f t="shared" si="7"/>
        <v>104.25</v>
      </c>
      <c r="B24" s="7">
        <f t="shared" si="0"/>
        <v>29.25</v>
      </c>
      <c r="C24" s="88">
        <v>75</v>
      </c>
      <c r="D24" s="54" t="s">
        <v>68</v>
      </c>
      <c r="E24" s="37" t="s">
        <v>479</v>
      </c>
      <c r="F24" s="37" t="s">
        <v>257</v>
      </c>
      <c r="G24" s="37" t="s">
        <v>235</v>
      </c>
      <c r="H24" s="37" t="s">
        <v>19</v>
      </c>
      <c r="I24" s="37" t="s">
        <v>53</v>
      </c>
      <c r="J24" s="37" t="s">
        <v>20</v>
      </c>
      <c r="K24" s="37" t="s">
        <v>38</v>
      </c>
      <c r="L24" s="40">
        <v>577309</v>
      </c>
      <c r="M24" s="42">
        <v>45318</v>
      </c>
      <c r="N24" s="317" t="s">
        <v>456</v>
      </c>
      <c r="O24" s="39">
        <v>19697010</v>
      </c>
      <c r="P24" s="68"/>
      <c r="Q24" s="68">
        <v>9896467</v>
      </c>
      <c r="R24" s="84">
        <f t="shared" si="9"/>
        <v>9800543</v>
      </c>
      <c r="S24" s="51">
        <f t="shared" si="3"/>
        <v>10618725</v>
      </c>
      <c r="T24" s="37">
        <v>195</v>
      </c>
      <c r="U24" s="29">
        <v>0.55000000000000004</v>
      </c>
      <c r="V24" s="74">
        <v>9078285</v>
      </c>
      <c r="W24" s="73">
        <v>0</v>
      </c>
      <c r="X24" s="153">
        <f t="shared" si="4"/>
        <v>9078285</v>
      </c>
      <c r="Y24" s="132">
        <f t="shared" si="5"/>
        <v>0.55000000000000004</v>
      </c>
      <c r="Z24" s="62">
        <f t="shared" si="6"/>
        <v>0.55000000000000004</v>
      </c>
    </row>
    <row r="25" spans="1:26" s="8" customFormat="1" ht="16.95" customHeight="1" x14ac:dyDescent="0.3">
      <c r="A25" s="152">
        <f t="shared" si="7"/>
        <v>104.25</v>
      </c>
      <c r="B25" s="7">
        <f t="shared" si="0"/>
        <v>29.25</v>
      </c>
      <c r="C25" s="88">
        <v>75</v>
      </c>
      <c r="D25" s="54" t="s">
        <v>68</v>
      </c>
      <c r="E25" s="37" t="s">
        <v>479</v>
      </c>
      <c r="F25" s="37" t="s">
        <v>255</v>
      </c>
      <c r="G25" s="37" t="s">
        <v>256</v>
      </c>
      <c r="H25" s="37" t="s">
        <v>19</v>
      </c>
      <c r="I25" s="37" t="s">
        <v>53</v>
      </c>
      <c r="J25" s="37" t="s">
        <v>20</v>
      </c>
      <c r="K25" s="37" t="s">
        <v>38</v>
      </c>
      <c r="L25" s="40">
        <v>577309</v>
      </c>
      <c r="M25" s="42">
        <v>45318</v>
      </c>
      <c r="N25" s="317" t="s">
        <v>456</v>
      </c>
      <c r="O25" s="39">
        <v>10400000</v>
      </c>
      <c r="P25" s="68"/>
      <c r="Q25" s="68">
        <v>10400000</v>
      </c>
      <c r="R25" s="84">
        <f t="shared" si="9"/>
        <v>0</v>
      </c>
      <c r="S25" s="51">
        <f t="shared" si="3"/>
        <v>2373750</v>
      </c>
      <c r="T25" s="37">
        <v>195</v>
      </c>
      <c r="U25" s="29">
        <v>0.55000000000000004</v>
      </c>
      <c r="V25" s="74">
        <v>8026250</v>
      </c>
      <c r="W25" s="73">
        <v>0</v>
      </c>
      <c r="X25" s="153">
        <f t="shared" si="4"/>
        <v>8026250</v>
      </c>
      <c r="Y25" s="132">
        <f t="shared" si="5"/>
        <v>0.55000000000000004</v>
      </c>
      <c r="Z25" s="62">
        <f t="shared" si="6"/>
        <v>0.55000000000000004</v>
      </c>
    </row>
    <row r="26" spans="1:26" s="8" customFormat="1" ht="16.95" customHeight="1" x14ac:dyDescent="0.3">
      <c r="A26" s="152">
        <f t="shared" si="7"/>
        <v>104</v>
      </c>
      <c r="B26" s="7">
        <f t="shared" si="0"/>
        <v>24</v>
      </c>
      <c r="C26" s="88">
        <v>80</v>
      </c>
      <c r="D26" s="54" t="s">
        <v>68</v>
      </c>
      <c r="E26" s="37" t="s">
        <v>462</v>
      </c>
      <c r="F26" s="37" t="s">
        <v>308</v>
      </c>
      <c r="G26" s="37" t="s">
        <v>70</v>
      </c>
      <c r="H26" s="37" t="s">
        <v>19</v>
      </c>
      <c r="I26" s="37" t="s">
        <v>404</v>
      </c>
      <c r="J26" s="37" t="s">
        <v>144</v>
      </c>
      <c r="K26" s="37" t="s">
        <v>38</v>
      </c>
      <c r="L26" s="40">
        <v>77240</v>
      </c>
      <c r="M26" s="42">
        <v>48238</v>
      </c>
      <c r="N26" s="317" t="s">
        <v>456</v>
      </c>
      <c r="O26" s="39">
        <v>3275000</v>
      </c>
      <c r="P26" s="68"/>
      <c r="Q26" s="68">
        <v>3275000</v>
      </c>
      <c r="R26" s="84">
        <f t="shared" si="9"/>
        <v>0</v>
      </c>
      <c r="S26" s="51">
        <f t="shared" si="3"/>
        <v>969375</v>
      </c>
      <c r="T26" s="37">
        <v>160</v>
      </c>
      <c r="U26" s="29">
        <v>0.45</v>
      </c>
      <c r="V26" s="74">
        <v>2305625</v>
      </c>
      <c r="W26" s="73">
        <f t="shared" ref="W26:W34" si="10">ROUNDUP((R26*U26),0)</f>
        <v>0</v>
      </c>
      <c r="X26" s="153">
        <f t="shared" si="4"/>
        <v>2305625</v>
      </c>
      <c r="Y26" s="132">
        <f t="shared" si="5"/>
        <v>0.55000000000000004</v>
      </c>
      <c r="Z26" s="62">
        <f t="shared" si="6"/>
        <v>0.45</v>
      </c>
    </row>
    <row r="27" spans="1:26" s="8" customFormat="1" ht="16.95" customHeight="1" x14ac:dyDescent="0.3">
      <c r="A27" s="152">
        <f t="shared" si="7"/>
        <v>102</v>
      </c>
      <c r="B27" s="7">
        <f t="shared" si="0"/>
        <v>42</v>
      </c>
      <c r="C27" s="88">
        <v>60</v>
      </c>
      <c r="D27" s="54" t="s">
        <v>56</v>
      </c>
      <c r="E27" s="37" t="s">
        <v>188</v>
      </c>
      <c r="F27" s="37" t="s">
        <v>189</v>
      </c>
      <c r="G27" s="37" t="s">
        <v>190</v>
      </c>
      <c r="H27" s="37" t="s">
        <v>21</v>
      </c>
      <c r="I27" s="37" t="s">
        <v>430</v>
      </c>
      <c r="J27" s="37" t="s">
        <v>75</v>
      </c>
      <c r="K27" s="37" t="s">
        <v>60</v>
      </c>
      <c r="L27" s="40">
        <v>2503</v>
      </c>
      <c r="M27" s="42">
        <v>33716</v>
      </c>
      <c r="N27" s="105">
        <f>Y27</f>
        <v>0.33</v>
      </c>
      <c r="O27" s="39">
        <v>2207000</v>
      </c>
      <c r="P27" s="68"/>
      <c r="Q27" s="68"/>
      <c r="R27" s="84">
        <f t="shared" si="9"/>
        <v>2207000</v>
      </c>
      <c r="S27" s="51">
        <f t="shared" si="3"/>
        <v>772450</v>
      </c>
      <c r="T27" s="37">
        <v>280</v>
      </c>
      <c r="U27" s="29">
        <v>0.65</v>
      </c>
      <c r="V27" s="74"/>
      <c r="W27" s="73">
        <f t="shared" si="10"/>
        <v>1434550</v>
      </c>
      <c r="X27" s="153">
        <f t="shared" si="4"/>
        <v>1434550</v>
      </c>
      <c r="Y27" s="132">
        <f t="shared" si="5"/>
        <v>0.33</v>
      </c>
      <c r="Z27" s="62">
        <f t="shared" si="6"/>
        <v>0.65</v>
      </c>
    </row>
    <row r="28" spans="1:26" s="8" customFormat="1" ht="16.95" customHeight="1" x14ac:dyDescent="0.3">
      <c r="A28" s="152">
        <f t="shared" si="7"/>
        <v>102</v>
      </c>
      <c r="B28" s="7">
        <f t="shared" si="0"/>
        <v>12</v>
      </c>
      <c r="C28" s="88">
        <v>90</v>
      </c>
      <c r="D28" s="54" t="s">
        <v>68</v>
      </c>
      <c r="E28" s="37" t="s">
        <v>461</v>
      </c>
      <c r="F28" s="37" t="s">
        <v>206</v>
      </c>
      <c r="G28" s="37" t="s">
        <v>207</v>
      </c>
      <c r="H28" s="37" t="s">
        <v>19</v>
      </c>
      <c r="I28" s="37" t="s">
        <v>403</v>
      </c>
      <c r="J28" s="37" t="s">
        <v>43</v>
      </c>
      <c r="K28" s="37" t="s">
        <v>38</v>
      </c>
      <c r="L28" s="40">
        <v>100051</v>
      </c>
      <c r="M28" s="42">
        <v>60219</v>
      </c>
      <c r="N28" s="317" t="s">
        <v>456</v>
      </c>
      <c r="O28" s="39">
        <v>2640000</v>
      </c>
      <c r="P28" s="68"/>
      <c r="Q28" s="68">
        <v>2640000</v>
      </c>
      <c r="R28" s="84">
        <f t="shared" si="9"/>
        <v>0</v>
      </c>
      <c r="S28" s="51">
        <f t="shared" si="3"/>
        <v>0</v>
      </c>
      <c r="T28" s="37">
        <v>80</v>
      </c>
      <c r="U28" s="29">
        <v>0.2</v>
      </c>
      <c r="V28" s="74">
        <v>2640000</v>
      </c>
      <c r="W28" s="73">
        <f t="shared" si="10"/>
        <v>0</v>
      </c>
      <c r="X28" s="153">
        <f t="shared" si="4"/>
        <v>2640000</v>
      </c>
      <c r="Y28" s="132">
        <f t="shared" si="5"/>
        <v>0.55000000000000004</v>
      </c>
      <c r="Z28" s="62">
        <f t="shared" si="6"/>
        <v>0.2</v>
      </c>
    </row>
    <row r="29" spans="1:26" s="8" customFormat="1" ht="16.95" customHeight="1" x14ac:dyDescent="0.3">
      <c r="A29" s="152">
        <f t="shared" si="7"/>
        <v>98.25</v>
      </c>
      <c r="B29" s="7">
        <f t="shared" si="0"/>
        <v>14.25</v>
      </c>
      <c r="C29" s="88">
        <v>84</v>
      </c>
      <c r="D29" s="54" t="s">
        <v>56</v>
      </c>
      <c r="E29" s="37" t="s">
        <v>341</v>
      </c>
      <c r="F29" s="37" t="s">
        <v>45</v>
      </c>
      <c r="G29" s="37" t="s">
        <v>44</v>
      </c>
      <c r="H29" s="37" t="s">
        <v>12</v>
      </c>
      <c r="I29" s="37" t="s">
        <v>426</v>
      </c>
      <c r="J29" s="37" t="s">
        <v>23</v>
      </c>
      <c r="K29" s="37" t="s">
        <v>60</v>
      </c>
      <c r="L29" s="38">
        <v>1821</v>
      </c>
      <c r="M29" s="39">
        <v>62462</v>
      </c>
      <c r="N29" s="105">
        <f>Y29</f>
        <v>0.55000000000000004</v>
      </c>
      <c r="O29" s="39">
        <v>6092475</v>
      </c>
      <c r="P29" s="68"/>
      <c r="Q29" s="68"/>
      <c r="R29" s="84">
        <f t="shared" si="9"/>
        <v>6092475</v>
      </c>
      <c r="S29" s="51">
        <f t="shared" si="3"/>
        <v>4569356</v>
      </c>
      <c r="T29" s="37">
        <v>95</v>
      </c>
      <c r="U29" s="29">
        <v>0.25</v>
      </c>
      <c r="V29" s="74">
        <v>0</v>
      </c>
      <c r="W29" s="73">
        <f t="shared" si="10"/>
        <v>1523119</v>
      </c>
      <c r="X29" s="153">
        <f t="shared" si="4"/>
        <v>1523119</v>
      </c>
      <c r="Y29" s="132">
        <f t="shared" si="5"/>
        <v>0.55000000000000004</v>
      </c>
      <c r="Z29" s="62">
        <f t="shared" si="6"/>
        <v>0.25</v>
      </c>
    </row>
    <row r="30" spans="1:26" s="8" customFormat="1" ht="16.95" customHeight="1" x14ac:dyDescent="0.3">
      <c r="A30" s="152">
        <f t="shared" si="7"/>
        <v>97.25</v>
      </c>
      <c r="B30" s="7">
        <f t="shared" si="0"/>
        <v>8.25</v>
      </c>
      <c r="C30" s="88">
        <v>89</v>
      </c>
      <c r="D30" s="54" t="s">
        <v>56</v>
      </c>
      <c r="E30" s="37" t="s">
        <v>132</v>
      </c>
      <c r="F30" s="37" t="s">
        <v>133</v>
      </c>
      <c r="G30" s="37" t="s">
        <v>134</v>
      </c>
      <c r="H30" s="37" t="s">
        <v>15</v>
      </c>
      <c r="I30" s="37" t="s">
        <v>51</v>
      </c>
      <c r="J30" s="37" t="s">
        <v>23</v>
      </c>
      <c r="K30" s="37" t="s">
        <v>39</v>
      </c>
      <c r="L30" s="40">
        <v>1708</v>
      </c>
      <c r="M30" s="42">
        <v>84868</v>
      </c>
      <c r="N30" s="105">
        <f>Y30</f>
        <v>0.55000000000000004</v>
      </c>
      <c r="O30" s="39">
        <v>4743348</v>
      </c>
      <c r="P30" s="68"/>
      <c r="Q30" s="68"/>
      <c r="R30" s="84">
        <f t="shared" si="9"/>
        <v>4743348</v>
      </c>
      <c r="S30" s="51">
        <f t="shared" si="3"/>
        <v>4743348</v>
      </c>
      <c r="T30" s="37">
        <v>55</v>
      </c>
      <c r="U30" s="29">
        <v>0</v>
      </c>
      <c r="V30" s="74">
        <v>0</v>
      </c>
      <c r="W30" s="73">
        <f t="shared" si="10"/>
        <v>0</v>
      </c>
      <c r="X30" s="153">
        <f t="shared" si="4"/>
        <v>0</v>
      </c>
      <c r="Y30" s="132">
        <f t="shared" si="5"/>
        <v>0.55000000000000004</v>
      </c>
      <c r="Z30" s="62">
        <f t="shared" si="6"/>
        <v>0</v>
      </c>
    </row>
    <row r="31" spans="1:26" s="8" customFormat="1" ht="16.95" customHeight="1" x14ac:dyDescent="0.3">
      <c r="A31" s="152">
        <f t="shared" si="7"/>
        <v>97</v>
      </c>
      <c r="B31" s="7">
        <f t="shared" si="0"/>
        <v>36</v>
      </c>
      <c r="C31" s="88">
        <v>61</v>
      </c>
      <c r="D31" s="54" t="s">
        <v>56</v>
      </c>
      <c r="E31" s="37" t="s">
        <v>314</v>
      </c>
      <c r="F31" s="37" t="s">
        <v>317</v>
      </c>
      <c r="G31" s="37" t="s">
        <v>318</v>
      </c>
      <c r="H31" s="37" t="s">
        <v>12</v>
      </c>
      <c r="I31" s="37" t="s">
        <v>54</v>
      </c>
      <c r="J31" s="37" t="s">
        <v>43</v>
      </c>
      <c r="K31" s="37" t="s">
        <v>13</v>
      </c>
      <c r="L31" s="40">
        <v>372</v>
      </c>
      <c r="M31" s="42">
        <v>32917</v>
      </c>
      <c r="N31" s="105">
        <f>Y31</f>
        <v>0.33</v>
      </c>
      <c r="O31" s="39">
        <v>623001</v>
      </c>
      <c r="P31" s="68"/>
      <c r="Q31" s="68"/>
      <c r="R31" s="84">
        <f t="shared" si="9"/>
        <v>623001</v>
      </c>
      <c r="S31" s="51">
        <f t="shared" si="3"/>
        <v>249200</v>
      </c>
      <c r="T31" s="37">
        <v>240</v>
      </c>
      <c r="U31" s="29">
        <v>0.6</v>
      </c>
      <c r="V31" s="74">
        <v>0</v>
      </c>
      <c r="W31" s="73">
        <f t="shared" si="10"/>
        <v>373801</v>
      </c>
      <c r="X31" s="153">
        <f t="shared" si="4"/>
        <v>373801</v>
      </c>
      <c r="Y31" s="132">
        <f t="shared" si="5"/>
        <v>0.33</v>
      </c>
      <c r="Z31" s="62">
        <f t="shared" si="6"/>
        <v>0.6</v>
      </c>
    </row>
    <row r="32" spans="1:26" s="8" customFormat="1" ht="16.95" customHeight="1" x14ac:dyDescent="0.3">
      <c r="A32" s="152">
        <f t="shared" si="7"/>
        <v>95.75</v>
      </c>
      <c r="B32" s="7">
        <f t="shared" si="0"/>
        <v>39.75</v>
      </c>
      <c r="C32" s="88">
        <v>56</v>
      </c>
      <c r="D32" s="54" t="s">
        <v>56</v>
      </c>
      <c r="E32" s="37" t="s">
        <v>248</v>
      </c>
      <c r="F32" s="37" t="s">
        <v>249</v>
      </c>
      <c r="G32" s="37" t="s">
        <v>250</v>
      </c>
      <c r="H32" s="37" t="s">
        <v>21</v>
      </c>
      <c r="I32" s="37" t="s">
        <v>406</v>
      </c>
      <c r="J32" s="37" t="s">
        <v>25</v>
      </c>
      <c r="K32" s="37" t="s">
        <v>60</v>
      </c>
      <c r="L32" s="40">
        <v>694</v>
      </c>
      <c r="M32" s="42">
        <v>38542</v>
      </c>
      <c r="N32" s="105">
        <f>Y32</f>
        <v>0.33</v>
      </c>
      <c r="O32" s="39">
        <v>758775</v>
      </c>
      <c r="P32" s="68"/>
      <c r="Q32" s="68"/>
      <c r="R32" s="84">
        <f t="shared" si="9"/>
        <v>758775</v>
      </c>
      <c r="S32" s="51">
        <f t="shared" si="3"/>
        <v>265571</v>
      </c>
      <c r="T32" s="37">
        <v>265</v>
      </c>
      <c r="U32" s="29">
        <v>0.65</v>
      </c>
      <c r="V32" s="74">
        <v>0</v>
      </c>
      <c r="W32" s="73">
        <f t="shared" si="10"/>
        <v>493204</v>
      </c>
      <c r="X32" s="153">
        <f t="shared" si="4"/>
        <v>493204</v>
      </c>
      <c r="Y32" s="132">
        <f t="shared" si="5"/>
        <v>0.33</v>
      </c>
      <c r="Z32" s="62">
        <f t="shared" si="6"/>
        <v>0.65</v>
      </c>
    </row>
    <row r="33" spans="1:26" s="8" customFormat="1" ht="16.95" customHeight="1" x14ac:dyDescent="0.3">
      <c r="A33" s="152">
        <f t="shared" si="7"/>
        <v>95.25</v>
      </c>
      <c r="B33" s="7">
        <f t="shared" si="0"/>
        <v>20.25</v>
      </c>
      <c r="C33" s="88">
        <v>75</v>
      </c>
      <c r="D33" s="54" t="s">
        <v>68</v>
      </c>
      <c r="E33" s="37" t="s">
        <v>469</v>
      </c>
      <c r="F33" s="37" t="s">
        <v>109</v>
      </c>
      <c r="G33" s="37" t="s">
        <v>70</v>
      </c>
      <c r="H33" s="37" t="s">
        <v>15</v>
      </c>
      <c r="I33" s="37" t="s">
        <v>402</v>
      </c>
      <c r="J33" s="37" t="s">
        <v>101</v>
      </c>
      <c r="K33" s="37" t="s">
        <v>39</v>
      </c>
      <c r="L33" s="38">
        <v>36760</v>
      </c>
      <c r="M33" s="39">
        <v>52097</v>
      </c>
      <c r="N33" s="317" t="s">
        <v>456</v>
      </c>
      <c r="O33" s="39">
        <v>1100000</v>
      </c>
      <c r="P33" s="68"/>
      <c r="Q33" s="68">
        <v>1100000</v>
      </c>
      <c r="R33" s="84">
        <f t="shared" si="9"/>
        <v>0</v>
      </c>
      <c r="S33" s="51">
        <f t="shared" si="3"/>
        <v>0</v>
      </c>
      <c r="T33" s="37">
        <v>135</v>
      </c>
      <c r="U33" s="29">
        <v>0.35</v>
      </c>
      <c r="V33" s="74">
        <v>1100000</v>
      </c>
      <c r="W33" s="73">
        <f t="shared" si="10"/>
        <v>0</v>
      </c>
      <c r="X33" s="153">
        <f t="shared" si="4"/>
        <v>1100000</v>
      </c>
      <c r="Y33" s="132">
        <f t="shared" si="5"/>
        <v>0.55000000000000004</v>
      </c>
      <c r="Z33" s="62">
        <f t="shared" si="6"/>
        <v>0.35</v>
      </c>
    </row>
    <row r="34" spans="1:26" s="8" customFormat="1" ht="16.95" customHeight="1" x14ac:dyDescent="0.3">
      <c r="A34" s="152">
        <f t="shared" si="7"/>
        <v>95.25</v>
      </c>
      <c r="B34" s="7">
        <f t="shared" si="0"/>
        <v>29.25</v>
      </c>
      <c r="C34" s="88">
        <v>66</v>
      </c>
      <c r="D34" s="54" t="s">
        <v>56</v>
      </c>
      <c r="E34" s="37" t="s">
        <v>266</v>
      </c>
      <c r="F34" s="37" t="s">
        <v>268</v>
      </c>
      <c r="G34" s="37" t="s">
        <v>269</v>
      </c>
      <c r="H34" s="37" t="s">
        <v>21</v>
      </c>
      <c r="I34" s="37" t="s">
        <v>436</v>
      </c>
      <c r="J34" s="37" t="s">
        <v>129</v>
      </c>
      <c r="K34" s="37" t="s">
        <v>60</v>
      </c>
      <c r="L34" s="40">
        <v>799</v>
      </c>
      <c r="M34" s="42">
        <v>53500</v>
      </c>
      <c r="N34" s="105">
        <f>Y34</f>
        <v>0.33</v>
      </c>
      <c r="O34" s="39">
        <v>2093695</v>
      </c>
      <c r="P34" s="68"/>
      <c r="Q34" s="68"/>
      <c r="R34" s="84">
        <f t="shared" si="9"/>
        <v>2093695</v>
      </c>
      <c r="S34" s="51">
        <f t="shared" si="3"/>
        <v>942162</v>
      </c>
      <c r="T34" s="37">
        <v>195</v>
      </c>
      <c r="U34" s="29">
        <v>0.55000000000000004</v>
      </c>
      <c r="V34" s="74">
        <v>0</v>
      </c>
      <c r="W34" s="73">
        <f t="shared" si="10"/>
        <v>1151533</v>
      </c>
      <c r="X34" s="153">
        <f t="shared" si="4"/>
        <v>1151533</v>
      </c>
      <c r="Y34" s="132">
        <f t="shared" si="5"/>
        <v>0.33</v>
      </c>
      <c r="Z34" s="62">
        <f t="shared" si="6"/>
        <v>0.55000000000000004</v>
      </c>
    </row>
    <row r="35" spans="1:26" s="8" customFormat="1" ht="16.95" customHeight="1" x14ac:dyDescent="0.3">
      <c r="A35" s="152">
        <f t="shared" si="7"/>
        <v>93</v>
      </c>
      <c r="B35" s="7">
        <f t="shared" si="0"/>
        <v>33</v>
      </c>
      <c r="C35" s="88">
        <v>60</v>
      </c>
      <c r="D35" s="54" t="s">
        <v>68</v>
      </c>
      <c r="E35" s="37" t="s">
        <v>485</v>
      </c>
      <c r="F35" s="37" t="s">
        <v>342</v>
      </c>
      <c r="G35" s="37" t="s">
        <v>70</v>
      </c>
      <c r="H35" s="37" t="s">
        <v>21</v>
      </c>
      <c r="I35" s="37" t="s">
        <v>419</v>
      </c>
      <c r="J35" s="37" t="s">
        <v>89</v>
      </c>
      <c r="K35" s="37" t="s">
        <v>60</v>
      </c>
      <c r="L35" s="40">
        <v>2453</v>
      </c>
      <c r="M35" s="41">
        <v>43789</v>
      </c>
      <c r="N35" s="317" t="s">
        <v>456</v>
      </c>
      <c r="O35" s="39">
        <v>460000</v>
      </c>
      <c r="P35" s="68"/>
      <c r="Q35" s="68">
        <v>247500</v>
      </c>
      <c r="R35" s="84">
        <f t="shared" si="9"/>
        <v>212500</v>
      </c>
      <c r="S35" s="51">
        <f t="shared" si="3"/>
        <v>187765</v>
      </c>
      <c r="T35" s="37">
        <v>220</v>
      </c>
      <c r="U35" s="29">
        <v>0.6</v>
      </c>
      <c r="V35" s="74">
        <v>247500</v>
      </c>
      <c r="W35" s="73">
        <v>24735</v>
      </c>
      <c r="X35" s="153">
        <f t="shared" si="4"/>
        <v>272235</v>
      </c>
      <c r="Y35" s="132">
        <f t="shared" si="5"/>
        <v>0.33</v>
      </c>
      <c r="Z35" s="62">
        <f t="shared" si="6"/>
        <v>0.6</v>
      </c>
    </row>
    <row r="36" spans="1:26" s="8" customFormat="1" ht="16.95" customHeight="1" x14ac:dyDescent="0.3">
      <c r="A36" s="152">
        <f t="shared" si="7"/>
        <v>91.5</v>
      </c>
      <c r="B36" s="7">
        <f t="shared" si="0"/>
        <v>7.5</v>
      </c>
      <c r="C36" s="88">
        <v>84</v>
      </c>
      <c r="D36" s="54" t="s">
        <v>63</v>
      </c>
      <c r="E36" s="46" t="s">
        <v>464</v>
      </c>
      <c r="F36" s="46" t="s">
        <v>161</v>
      </c>
      <c r="G36" s="46" t="s">
        <v>162</v>
      </c>
      <c r="H36" s="37" t="s">
        <v>12</v>
      </c>
      <c r="I36" s="46" t="s">
        <v>413</v>
      </c>
      <c r="J36" s="63" t="s">
        <v>18</v>
      </c>
      <c r="K36" s="37" t="s">
        <v>13</v>
      </c>
      <c r="L36" s="40">
        <v>70587</v>
      </c>
      <c r="M36" s="42">
        <v>60562</v>
      </c>
      <c r="N36" s="105">
        <f>Y36</f>
        <v>0.55000000000000004</v>
      </c>
      <c r="O36" s="49">
        <v>26145700</v>
      </c>
      <c r="P36" s="69">
        <v>7000000</v>
      </c>
      <c r="Q36" s="69"/>
      <c r="R36" s="84">
        <f t="shared" si="9"/>
        <v>19145700</v>
      </c>
      <c r="S36" s="51">
        <f t="shared" si="3"/>
        <v>22645700</v>
      </c>
      <c r="T36" s="46">
        <v>50</v>
      </c>
      <c r="U36" s="29">
        <v>0</v>
      </c>
      <c r="V36" s="74">
        <v>3500000</v>
      </c>
      <c r="W36" s="73">
        <f>ROUNDUP((R36*U36),0)</f>
        <v>0</v>
      </c>
      <c r="X36" s="153">
        <f t="shared" si="4"/>
        <v>3500000</v>
      </c>
      <c r="Y36" s="132">
        <f t="shared" si="5"/>
        <v>0.55000000000000004</v>
      </c>
      <c r="Z36" s="62">
        <f t="shared" si="6"/>
        <v>0</v>
      </c>
    </row>
    <row r="37" spans="1:26" s="8" customFormat="1" ht="16.95" customHeight="1" x14ac:dyDescent="0.3">
      <c r="A37" s="152">
        <f t="shared" si="7"/>
        <v>91.25</v>
      </c>
      <c r="B37" s="7">
        <f t="shared" ref="B37:B68" si="11">T37*0.15</f>
        <v>11.25</v>
      </c>
      <c r="C37" s="88">
        <v>80</v>
      </c>
      <c r="D37" s="54" t="s">
        <v>68</v>
      </c>
      <c r="E37" s="37" t="s">
        <v>504</v>
      </c>
      <c r="F37" s="37" t="s">
        <v>163</v>
      </c>
      <c r="G37" s="37" t="s">
        <v>70</v>
      </c>
      <c r="H37" s="37" t="s">
        <v>15</v>
      </c>
      <c r="I37" s="37" t="s">
        <v>402</v>
      </c>
      <c r="J37" s="37" t="s">
        <v>41</v>
      </c>
      <c r="K37" s="37" t="s">
        <v>39</v>
      </c>
      <c r="L37" s="40">
        <v>5997</v>
      </c>
      <c r="M37" s="42">
        <v>68900</v>
      </c>
      <c r="N37" s="317" t="s">
        <v>456</v>
      </c>
      <c r="O37" s="39">
        <v>2143097</v>
      </c>
      <c r="P37" s="68"/>
      <c r="Q37" s="68">
        <v>2143097</v>
      </c>
      <c r="R37" s="84">
        <f t="shared" si="9"/>
        <v>0</v>
      </c>
      <c r="S37" s="51">
        <f t="shared" ref="S37:S68" si="12">O37-X37</f>
        <v>1743114</v>
      </c>
      <c r="T37" s="37">
        <v>75</v>
      </c>
      <c r="U37" s="29">
        <v>0.15</v>
      </c>
      <c r="V37" s="74">
        <v>399983</v>
      </c>
      <c r="W37" s="73">
        <f>ROUNDUP((R37*U37),0)</f>
        <v>0</v>
      </c>
      <c r="X37" s="153">
        <f t="shared" ref="X37:X68" si="13">V37+W37</f>
        <v>399983</v>
      </c>
      <c r="Y37" s="132">
        <f t="shared" ref="Y37:Y68" si="14">IF(AND(L37&lt;10000,M37&lt;53664),33%,55%)</f>
        <v>0.55000000000000004</v>
      </c>
      <c r="Z37" s="62">
        <f t="shared" ref="Z37:Z68" si="15">IF(T37&gt;=250,0.65,IF(T37&gt;=200,0.6,IF(T37&gt;=185,0.55,IF(T37&gt;=170,0.5,IF(T37&gt;=155,0.45,IF(T37&gt;=140,0.4,IF(T37&gt;=125,0.35,IF(T37&gt;=110,0.3,IF(T37&gt;=95,0.25,IF(T37&gt;=80,0.2,IF(T37&gt;=70,0.15,IF(T37&gt;=60,0.1,IF(T37&lt;60,0)))))))))))))</f>
        <v>0.15</v>
      </c>
    </row>
    <row r="38" spans="1:26" s="8" customFormat="1" ht="16.95" customHeight="1" x14ac:dyDescent="0.3">
      <c r="A38" s="152">
        <f t="shared" si="7"/>
        <v>89.5</v>
      </c>
      <c r="B38" s="7">
        <f t="shared" si="11"/>
        <v>25.5</v>
      </c>
      <c r="C38" s="88">
        <v>64</v>
      </c>
      <c r="D38" s="54" t="s">
        <v>68</v>
      </c>
      <c r="E38" s="37" t="s">
        <v>463</v>
      </c>
      <c r="F38" s="37" t="s">
        <v>71</v>
      </c>
      <c r="G38" s="37" t="s">
        <v>598</v>
      </c>
      <c r="H38" s="37" t="s">
        <v>16</v>
      </c>
      <c r="I38" s="37" t="s">
        <v>411</v>
      </c>
      <c r="J38" s="37" t="s">
        <v>14</v>
      </c>
      <c r="K38" s="37" t="s">
        <v>17</v>
      </c>
      <c r="L38" s="38">
        <v>75605</v>
      </c>
      <c r="M38" s="39">
        <v>68364</v>
      </c>
      <c r="N38" s="317" t="s">
        <v>456</v>
      </c>
      <c r="O38" s="39">
        <v>611302</v>
      </c>
      <c r="P38" s="68"/>
      <c r="Q38" s="68">
        <v>611302</v>
      </c>
      <c r="R38" s="84">
        <f t="shared" si="9"/>
        <v>0</v>
      </c>
      <c r="S38" s="51">
        <f t="shared" si="12"/>
        <v>0</v>
      </c>
      <c r="T38" s="37">
        <v>170</v>
      </c>
      <c r="U38" s="29">
        <v>0.5</v>
      </c>
      <c r="V38" s="74">
        <v>611302</v>
      </c>
      <c r="W38" s="73">
        <f>ROUNDUP((R38*U38),0)</f>
        <v>0</v>
      </c>
      <c r="X38" s="153">
        <f t="shared" si="13"/>
        <v>611302</v>
      </c>
      <c r="Y38" s="132">
        <f t="shared" si="14"/>
        <v>0.55000000000000004</v>
      </c>
      <c r="Z38" s="62">
        <f t="shared" si="15"/>
        <v>0.5</v>
      </c>
    </row>
    <row r="39" spans="1:26" s="8" customFormat="1" ht="16.95" customHeight="1" x14ac:dyDescent="0.3">
      <c r="A39" s="152">
        <f t="shared" si="7"/>
        <v>89</v>
      </c>
      <c r="B39" s="7">
        <f t="shared" si="11"/>
        <v>27</v>
      </c>
      <c r="C39" s="88">
        <v>62</v>
      </c>
      <c r="D39" s="54" t="s">
        <v>56</v>
      </c>
      <c r="E39" s="37" t="s">
        <v>362</v>
      </c>
      <c r="F39" s="37" t="s">
        <v>363</v>
      </c>
      <c r="G39" s="37" t="s">
        <v>364</v>
      </c>
      <c r="H39" s="37" t="s">
        <v>21</v>
      </c>
      <c r="I39" s="91" t="s">
        <v>441</v>
      </c>
      <c r="J39" s="37" t="s">
        <v>119</v>
      </c>
      <c r="K39" s="37" t="s">
        <v>60</v>
      </c>
      <c r="L39" s="38">
        <v>2004</v>
      </c>
      <c r="M39" s="41">
        <v>52946</v>
      </c>
      <c r="N39" s="105">
        <f>Y39</f>
        <v>0.33</v>
      </c>
      <c r="O39" s="39">
        <v>3017400</v>
      </c>
      <c r="P39" s="68"/>
      <c r="Q39" s="68"/>
      <c r="R39" s="84">
        <f t="shared" si="9"/>
        <v>3017400</v>
      </c>
      <c r="S39" s="51">
        <f t="shared" si="12"/>
        <v>1508700</v>
      </c>
      <c r="T39" s="37">
        <v>180</v>
      </c>
      <c r="U39" s="29">
        <v>0.5</v>
      </c>
      <c r="V39" s="74">
        <v>0</v>
      </c>
      <c r="W39" s="73">
        <f>ROUNDUP((R39*U39),0)</f>
        <v>1508700</v>
      </c>
      <c r="X39" s="153">
        <f t="shared" si="13"/>
        <v>1508700</v>
      </c>
      <c r="Y39" s="132">
        <f t="shared" si="14"/>
        <v>0.33</v>
      </c>
      <c r="Z39" s="62">
        <f t="shared" si="15"/>
        <v>0.5</v>
      </c>
    </row>
    <row r="40" spans="1:26" s="8" customFormat="1" ht="16.95" customHeight="1" x14ac:dyDescent="0.3">
      <c r="A40" s="152">
        <f t="shared" si="7"/>
        <v>88.75</v>
      </c>
      <c r="B40" s="7">
        <f t="shared" si="11"/>
        <v>24.75</v>
      </c>
      <c r="C40" s="88">
        <v>64</v>
      </c>
      <c r="D40" s="54" t="s">
        <v>56</v>
      </c>
      <c r="E40" s="37" t="s">
        <v>483</v>
      </c>
      <c r="F40" s="37" t="s">
        <v>141</v>
      </c>
      <c r="G40" s="37" t="s">
        <v>142</v>
      </c>
      <c r="H40" s="37" t="s">
        <v>21</v>
      </c>
      <c r="I40" s="37" t="s">
        <v>424</v>
      </c>
      <c r="J40" s="37" t="s">
        <v>18</v>
      </c>
      <c r="K40" s="37" t="s">
        <v>60</v>
      </c>
      <c r="L40" s="38">
        <v>2166</v>
      </c>
      <c r="M40" s="42">
        <v>53347</v>
      </c>
      <c r="N40" s="105">
        <f>Y40</f>
        <v>0.33</v>
      </c>
      <c r="O40" s="39">
        <v>4258320</v>
      </c>
      <c r="P40" s="68"/>
      <c r="Q40" s="68"/>
      <c r="R40" s="84">
        <f t="shared" si="9"/>
        <v>4258320</v>
      </c>
      <c r="S40" s="51">
        <f t="shared" si="12"/>
        <v>2658320</v>
      </c>
      <c r="T40" s="37">
        <v>165</v>
      </c>
      <c r="U40" s="29">
        <v>0.45</v>
      </c>
      <c r="V40" s="74">
        <v>0</v>
      </c>
      <c r="W40" s="73">
        <v>1600000</v>
      </c>
      <c r="X40" s="153">
        <f t="shared" si="13"/>
        <v>1600000</v>
      </c>
      <c r="Y40" s="132">
        <f t="shared" si="14"/>
        <v>0.33</v>
      </c>
      <c r="Z40" s="62">
        <f t="shared" si="15"/>
        <v>0.45</v>
      </c>
    </row>
    <row r="41" spans="1:26" s="8" customFormat="1" ht="16.95" customHeight="1" x14ac:dyDescent="0.3">
      <c r="A41" s="152">
        <f t="shared" ref="A41:A72" si="16">B41+C41</f>
        <v>88.5</v>
      </c>
      <c r="B41" s="7">
        <f t="shared" si="11"/>
        <v>13.5</v>
      </c>
      <c r="C41" s="88">
        <v>75</v>
      </c>
      <c r="D41" s="54" t="s">
        <v>68</v>
      </c>
      <c r="E41" s="37" t="s">
        <v>460</v>
      </c>
      <c r="F41" s="37" t="s">
        <v>178</v>
      </c>
      <c r="G41" s="37" t="s">
        <v>598</v>
      </c>
      <c r="H41" s="37" t="s">
        <v>16</v>
      </c>
      <c r="I41" s="37" t="s">
        <v>52</v>
      </c>
      <c r="J41" s="37" t="s">
        <v>101</v>
      </c>
      <c r="K41" s="37" t="s">
        <v>17</v>
      </c>
      <c r="L41" s="40">
        <v>107369</v>
      </c>
      <c r="M41" s="42">
        <v>55221</v>
      </c>
      <c r="N41" s="317" t="s">
        <v>456</v>
      </c>
      <c r="O41" s="39">
        <v>550000</v>
      </c>
      <c r="P41" s="68"/>
      <c r="Q41" s="68">
        <v>550000</v>
      </c>
      <c r="R41" s="84">
        <f t="shared" si="9"/>
        <v>0</v>
      </c>
      <c r="S41" s="51">
        <f t="shared" si="12"/>
        <v>0</v>
      </c>
      <c r="T41" s="37">
        <v>90</v>
      </c>
      <c r="U41" s="29">
        <v>0.2</v>
      </c>
      <c r="V41" s="74">
        <v>550000</v>
      </c>
      <c r="W41" s="73">
        <f>ROUNDUP((R41*U41),0)</f>
        <v>0</v>
      </c>
      <c r="X41" s="153">
        <f t="shared" si="13"/>
        <v>550000</v>
      </c>
      <c r="Y41" s="132">
        <f t="shared" si="14"/>
        <v>0.55000000000000004</v>
      </c>
      <c r="Z41" s="62">
        <f t="shared" si="15"/>
        <v>0.2</v>
      </c>
    </row>
    <row r="42" spans="1:26" s="8" customFormat="1" ht="14.4" x14ac:dyDescent="0.3">
      <c r="A42" s="152">
        <f t="shared" si="16"/>
        <v>88</v>
      </c>
      <c r="B42" s="7">
        <f t="shared" si="11"/>
        <v>18</v>
      </c>
      <c r="C42" s="88">
        <v>70</v>
      </c>
      <c r="D42" s="54" t="s">
        <v>68</v>
      </c>
      <c r="E42" s="37" t="s">
        <v>590</v>
      </c>
      <c r="F42" s="37" t="s">
        <v>143</v>
      </c>
      <c r="G42" s="37" t="s">
        <v>70</v>
      </c>
      <c r="H42" s="37" t="s">
        <v>12</v>
      </c>
      <c r="I42" s="37" t="s">
        <v>425</v>
      </c>
      <c r="J42" s="37" t="s">
        <v>144</v>
      </c>
      <c r="K42" s="37" t="s">
        <v>13</v>
      </c>
      <c r="L42" s="40">
        <v>14724</v>
      </c>
      <c r="M42" s="42">
        <v>54315</v>
      </c>
      <c r="N42" s="317" t="s">
        <v>456</v>
      </c>
      <c r="O42" s="39">
        <v>1404000</v>
      </c>
      <c r="P42" s="68"/>
      <c r="Q42" s="68">
        <v>1336500</v>
      </c>
      <c r="R42" s="84">
        <f t="shared" si="9"/>
        <v>67500</v>
      </c>
      <c r="S42" s="51">
        <f t="shared" si="12"/>
        <v>381375</v>
      </c>
      <c r="T42" s="37">
        <v>120</v>
      </c>
      <c r="U42" s="29">
        <v>0.3</v>
      </c>
      <c r="V42" s="74">
        <v>1002375</v>
      </c>
      <c r="W42" s="73">
        <f>ROUNDUP((R42*U42),0)</f>
        <v>20250</v>
      </c>
      <c r="X42" s="153">
        <f t="shared" si="13"/>
        <v>1022625</v>
      </c>
      <c r="Y42" s="132">
        <f t="shared" si="14"/>
        <v>0.55000000000000004</v>
      </c>
      <c r="Z42" s="62">
        <f t="shared" si="15"/>
        <v>0.3</v>
      </c>
    </row>
    <row r="43" spans="1:26" s="8" customFormat="1" ht="16.95" customHeight="1" x14ac:dyDescent="0.3">
      <c r="A43" s="152">
        <f t="shared" si="16"/>
        <v>87</v>
      </c>
      <c r="B43" s="7">
        <f t="shared" si="11"/>
        <v>12</v>
      </c>
      <c r="C43" s="88">
        <v>75</v>
      </c>
      <c r="D43" s="54" t="s">
        <v>68</v>
      </c>
      <c r="E43" s="37" t="s">
        <v>467</v>
      </c>
      <c r="F43" s="37" t="s">
        <v>336</v>
      </c>
      <c r="G43" s="37" t="s">
        <v>598</v>
      </c>
      <c r="H43" s="37" t="s">
        <v>19</v>
      </c>
      <c r="I43" s="37" t="s">
        <v>405</v>
      </c>
      <c r="J43" s="37" t="s">
        <v>144</v>
      </c>
      <c r="K43" s="37" t="s">
        <v>38</v>
      </c>
      <c r="L43" s="40">
        <v>50139</v>
      </c>
      <c r="M43" s="41">
        <v>55041</v>
      </c>
      <c r="N43" s="317" t="s">
        <v>456</v>
      </c>
      <c r="O43" s="39">
        <v>1646375</v>
      </c>
      <c r="P43" s="68"/>
      <c r="Q43" s="68">
        <v>1646375</v>
      </c>
      <c r="R43" s="84">
        <f t="shared" si="9"/>
        <v>0</v>
      </c>
      <c r="S43" s="51">
        <f t="shared" si="12"/>
        <v>411593</v>
      </c>
      <c r="T43" s="37">
        <v>80</v>
      </c>
      <c r="U43" s="29">
        <v>0.2</v>
      </c>
      <c r="V43" s="74">
        <v>1234782</v>
      </c>
      <c r="W43" s="73">
        <f>ROUNDUP((R43*U43),0)</f>
        <v>0</v>
      </c>
      <c r="X43" s="153">
        <f t="shared" si="13"/>
        <v>1234782</v>
      </c>
      <c r="Y43" s="132">
        <f t="shared" si="14"/>
        <v>0.55000000000000004</v>
      </c>
      <c r="Z43" s="62">
        <f t="shared" si="15"/>
        <v>0.2</v>
      </c>
    </row>
    <row r="44" spans="1:26" s="8" customFormat="1" ht="16.95" customHeight="1" x14ac:dyDescent="0.3">
      <c r="A44" s="152">
        <f t="shared" si="16"/>
        <v>86.25</v>
      </c>
      <c r="B44" s="7">
        <f t="shared" si="11"/>
        <v>17.25</v>
      </c>
      <c r="C44" s="88">
        <v>69</v>
      </c>
      <c r="D44" s="54" t="s">
        <v>56</v>
      </c>
      <c r="E44" s="37" t="s">
        <v>366</v>
      </c>
      <c r="F44" s="37" t="s">
        <v>367</v>
      </c>
      <c r="G44" s="37" t="s">
        <v>368</v>
      </c>
      <c r="H44" s="37" t="s">
        <v>15</v>
      </c>
      <c r="I44" s="37" t="s">
        <v>442</v>
      </c>
      <c r="J44" s="37" t="s">
        <v>89</v>
      </c>
      <c r="K44" s="37" t="s">
        <v>39</v>
      </c>
      <c r="L44" s="40">
        <v>3631</v>
      </c>
      <c r="M44" s="41">
        <v>63984</v>
      </c>
      <c r="N44" s="105">
        <f>Y44</f>
        <v>0.55000000000000004</v>
      </c>
      <c r="O44" s="39">
        <v>1149796</v>
      </c>
      <c r="P44" s="68"/>
      <c r="Q44" s="68"/>
      <c r="R44" s="84">
        <f t="shared" si="9"/>
        <v>1149796</v>
      </c>
      <c r="S44" s="51">
        <f t="shared" si="12"/>
        <v>804857</v>
      </c>
      <c r="T44" s="37">
        <v>115</v>
      </c>
      <c r="U44" s="29">
        <v>0.3</v>
      </c>
      <c r="V44" s="74">
        <v>0</v>
      </c>
      <c r="W44" s="73">
        <f>ROUNDUP((R44*U44),0)</f>
        <v>344939</v>
      </c>
      <c r="X44" s="153">
        <f t="shared" si="13"/>
        <v>344939</v>
      </c>
      <c r="Y44" s="132">
        <f t="shared" si="14"/>
        <v>0.55000000000000004</v>
      </c>
      <c r="Z44" s="62">
        <f t="shared" si="15"/>
        <v>0.3</v>
      </c>
    </row>
    <row r="45" spans="1:26" s="8" customFormat="1" ht="16.95" customHeight="1" x14ac:dyDescent="0.3">
      <c r="A45" s="152">
        <f t="shared" si="16"/>
        <v>85.75</v>
      </c>
      <c r="B45" s="7">
        <f t="shared" si="11"/>
        <v>3.75</v>
      </c>
      <c r="C45" s="88">
        <v>82</v>
      </c>
      <c r="D45" s="54" t="s">
        <v>56</v>
      </c>
      <c r="E45" s="37" t="s">
        <v>589</v>
      </c>
      <c r="F45" s="37" t="s">
        <v>169</v>
      </c>
      <c r="G45" s="37" t="s">
        <v>170</v>
      </c>
      <c r="H45" s="37" t="s">
        <v>19</v>
      </c>
      <c r="I45" s="37" t="s">
        <v>427</v>
      </c>
      <c r="J45" s="37" t="s">
        <v>42</v>
      </c>
      <c r="K45" s="37" t="s">
        <v>38</v>
      </c>
      <c r="L45" s="40">
        <v>10317</v>
      </c>
      <c r="M45" s="42">
        <v>68339</v>
      </c>
      <c r="N45" s="105">
        <f>Y45</f>
        <v>0.55000000000000004</v>
      </c>
      <c r="O45" s="39">
        <v>4033100</v>
      </c>
      <c r="P45" s="68"/>
      <c r="Q45" s="68"/>
      <c r="R45" s="84">
        <f t="shared" si="9"/>
        <v>4033100</v>
      </c>
      <c r="S45" s="51">
        <f t="shared" si="12"/>
        <v>4033100</v>
      </c>
      <c r="T45" s="37">
        <v>25</v>
      </c>
      <c r="U45" s="29">
        <v>0</v>
      </c>
      <c r="V45" s="74">
        <v>0</v>
      </c>
      <c r="W45" s="73">
        <f>ROUNDUP((R45*U45),0)</f>
        <v>0</v>
      </c>
      <c r="X45" s="153">
        <f t="shared" si="13"/>
        <v>0</v>
      </c>
      <c r="Y45" s="132">
        <f t="shared" si="14"/>
        <v>0.55000000000000004</v>
      </c>
      <c r="Z45" s="62">
        <f t="shared" si="15"/>
        <v>0</v>
      </c>
    </row>
    <row r="46" spans="1:26" s="8" customFormat="1" ht="16.95" customHeight="1" x14ac:dyDescent="0.3">
      <c r="A46" s="152">
        <f t="shared" si="16"/>
        <v>85</v>
      </c>
      <c r="B46" s="7">
        <f t="shared" si="11"/>
        <v>33</v>
      </c>
      <c r="C46" s="88">
        <v>52</v>
      </c>
      <c r="D46" s="54" t="s">
        <v>56</v>
      </c>
      <c r="E46" s="37" t="s">
        <v>485</v>
      </c>
      <c r="F46" s="37" t="s">
        <v>343</v>
      </c>
      <c r="G46" s="37" t="s">
        <v>344</v>
      </c>
      <c r="H46" s="37" t="s">
        <v>21</v>
      </c>
      <c r="I46" s="37" t="s">
        <v>419</v>
      </c>
      <c r="J46" s="37" t="s">
        <v>89</v>
      </c>
      <c r="K46" s="37" t="s">
        <v>60</v>
      </c>
      <c r="L46" s="40">
        <v>2453</v>
      </c>
      <c r="M46" s="41">
        <v>43789</v>
      </c>
      <c r="N46" s="105">
        <f>Y46</f>
        <v>0.33</v>
      </c>
      <c r="O46" s="39">
        <v>2625441</v>
      </c>
      <c r="P46" s="68"/>
      <c r="Q46" s="68"/>
      <c r="R46" s="84">
        <f t="shared" si="9"/>
        <v>2625441</v>
      </c>
      <c r="S46" s="51">
        <f t="shared" si="12"/>
        <v>1050176.4000000001</v>
      </c>
      <c r="T46" s="37">
        <v>220</v>
      </c>
      <c r="U46" s="29">
        <v>0.6</v>
      </c>
      <c r="V46" s="74">
        <v>0</v>
      </c>
      <c r="W46" s="73">
        <f>R46*U46</f>
        <v>1575264.5999999999</v>
      </c>
      <c r="X46" s="153">
        <f t="shared" si="13"/>
        <v>1575264.5999999999</v>
      </c>
      <c r="Y46" s="132">
        <f t="shared" si="14"/>
        <v>0.33</v>
      </c>
      <c r="Z46" s="62">
        <f t="shared" si="15"/>
        <v>0.6</v>
      </c>
    </row>
    <row r="47" spans="1:26" s="8" customFormat="1" ht="16.95" customHeight="1" x14ac:dyDescent="0.3">
      <c r="A47" s="152">
        <f t="shared" si="16"/>
        <v>84.5</v>
      </c>
      <c r="B47" s="7">
        <f t="shared" si="11"/>
        <v>25.5</v>
      </c>
      <c r="C47" s="88">
        <v>59</v>
      </c>
      <c r="D47" s="54" t="s">
        <v>68</v>
      </c>
      <c r="E47" s="37" t="s">
        <v>497</v>
      </c>
      <c r="F47" s="37" t="s">
        <v>69</v>
      </c>
      <c r="G47" s="37" t="s">
        <v>70</v>
      </c>
      <c r="H47" s="37" t="s">
        <v>21</v>
      </c>
      <c r="I47" s="37" t="s">
        <v>410</v>
      </c>
      <c r="J47" s="37" t="s">
        <v>43</v>
      </c>
      <c r="K47" s="37" t="s">
        <v>60</v>
      </c>
      <c r="L47" s="38">
        <v>8053</v>
      </c>
      <c r="M47" s="39">
        <v>45041</v>
      </c>
      <c r="N47" s="317" t="s">
        <v>456</v>
      </c>
      <c r="O47" s="39">
        <v>275000</v>
      </c>
      <c r="P47" s="68"/>
      <c r="Q47" s="68">
        <v>275000</v>
      </c>
      <c r="R47" s="84">
        <f t="shared" si="9"/>
        <v>0</v>
      </c>
      <c r="S47" s="51">
        <f t="shared" si="12"/>
        <v>0</v>
      </c>
      <c r="T47" s="37">
        <v>170</v>
      </c>
      <c r="U47" s="29">
        <v>0.5</v>
      </c>
      <c r="V47" s="74">
        <v>275000</v>
      </c>
      <c r="W47" s="73">
        <f t="shared" ref="W47:W54" si="17">ROUNDUP((R47*U47),0)</f>
        <v>0</v>
      </c>
      <c r="X47" s="153">
        <f t="shared" si="13"/>
        <v>275000</v>
      </c>
      <c r="Y47" s="132">
        <f t="shared" si="14"/>
        <v>0.33</v>
      </c>
      <c r="Z47" s="62">
        <f t="shared" si="15"/>
        <v>0.5</v>
      </c>
    </row>
    <row r="48" spans="1:26" s="8" customFormat="1" ht="16.95" customHeight="1" x14ac:dyDescent="0.3">
      <c r="A48" s="152">
        <f t="shared" si="16"/>
        <v>84</v>
      </c>
      <c r="B48" s="7">
        <f t="shared" si="11"/>
        <v>24</v>
      </c>
      <c r="C48" s="88">
        <v>60</v>
      </c>
      <c r="D48" s="54" t="s">
        <v>68</v>
      </c>
      <c r="E48" s="37" t="s">
        <v>514</v>
      </c>
      <c r="F48" s="37" t="s">
        <v>361</v>
      </c>
      <c r="G48" s="37" t="s">
        <v>70</v>
      </c>
      <c r="H48" s="37" t="s">
        <v>12</v>
      </c>
      <c r="I48" s="37" t="s">
        <v>54</v>
      </c>
      <c r="J48" s="37" t="s">
        <v>144</v>
      </c>
      <c r="K48" s="37" t="s">
        <v>13</v>
      </c>
      <c r="L48" s="40">
        <v>4444</v>
      </c>
      <c r="M48" s="41">
        <v>46991</v>
      </c>
      <c r="N48" s="317" t="s">
        <v>456</v>
      </c>
      <c r="O48" s="39">
        <v>250000</v>
      </c>
      <c r="P48" s="68"/>
      <c r="Q48" s="68">
        <v>232000</v>
      </c>
      <c r="R48" s="84">
        <f t="shared" si="9"/>
        <v>18000</v>
      </c>
      <c r="S48" s="51">
        <f t="shared" si="12"/>
        <v>67900</v>
      </c>
      <c r="T48" s="37">
        <v>160</v>
      </c>
      <c r="U48" s="29">
        <v>0.45</v>
      </c>
      <c r="V48" s="74">
        <v>174000</v>
      </c>
      <c r="W48" s="73">
        <f t="shared" si="17"/>
        <v>8100</v>
      </c>
      <c r="X48" s="153">
        <f t="shared" si="13"/>
        <v>182100</v>
      </c>
      <c r="Y48" s="132">
        <f t="shared" si="14"/>
        <v>0.33</v>
      </c>
      <c r="Z48" s="62">
        <f t="shared" si="15"/>
        <v>0.45</v>
      </c>
    </row>
    <row r="49" spans="1:26" s="8" customFormat="1" ht="16.95" customHeight="1" x14ac:dyDescent="0.3">
      <c r="A49" s="152">
        <f t="shared" si="16"/>
        <v>81.5</v>
      </c>
      <c r="B49" s="7">
        <f t="shared" si="11"/>
        <v>43.5</v>
      </c>
      <c r="C49" s="88">
        <v>38</v>
      </c>
      <c r="D49" s="54" t="s">
        <v>56</v>
      </c>
      <c r="E49" s="37" t="s">
        <v>211</v>
      </c>
      <c r="F49" s="37" t="s">
        <v>212</v>
      </c>
      <c r="G49" s="37" t="s">
        <v>213</v>
      </c>
      <c r="H49" s="37" t="s">
        <v>12</v>
      </c>
      <c r="I49" s="37" t="s">
        <v>54</v>
      </c>
      <c r="J49" s="37" t="s">
        <v>14</v>
      </c>
      <c r="K49" s="37" t="s">
        <v>13</v>
      </c>
      <c r="L49" s="40">
        <v>726</v>
      </c>
      <c r="M49" s="42">
        <v>32232</v>
      </c>
      <c r="N49" s="105">
        <f>Y49</f>
        <v>0.33</v>
      </c>
      <c r="O49" s="39">
        <v>1995770</v>
      </c>
      <c r="P49" s="68"/>
      <c r="Q49" s="68"/>
      <c r="R49" s="84">
        <f t="shared" si="9"/>
        <v>1995770</v>
      </c>
      <c r="S49" s="51">
        <f t="shared" si="12"/>
        <v>698519</v>
      </c>
      <c r="T49" s="37">
        <v>290</v>
      </c>
      <c r="U49" s="29">
        <v>0.65</v>
      </c>
      <c r="V49" s="74">
        <v>0</v>
      </c>
      <c r="W49" s="73">
        <f t="shared" si="17"/>
        <v>1297251</v>
      </c>
      <c r="X49" s="153">
        <f t="shared" si="13"/>
        <v>1297251</v>
      </c>
      <c r="Y49" s="132">
        <f t="shared" si="14"/>
        <v>0.33</v>
      </c>
      <c r="Z49" s="62">
        <f t="shared" si="15"/>
        <v>0.65</v>
      </c>
    </row>
    <row r="50" spans="1:26" s="8" customFormat="1" ht="16.95" customHeight="1" x14ac:dyDescent="0.3">
      <c r="A50" s="152">
        <f t="shared" si="16"/>
        <v>80.5</v>
      </c>
      <c r="B50" s="7">
        <f t="shared" si="11"/>
        <v>10.5</v>
      </c>
      <c r="C50" s="88">
        <v>70</v>
      </c>
      <c r="D50" s="54" t="s">
        <v>68</v>
      </c>
      <c r="E50" s="37" t="s">
        <v>465</v>
      </c>
      <c r="F50" s="37" t="s">
        <v>295</v>
      </c>
      <c r="G50" s="37" t="s">
        <v>70</v>
      </c>
      <c r="H50" s="37" t="s">
        <v>16</v>
      </c>
      <c r="I50" s="37" t="s">
        <v>411</v>
      </c>
      <c r="J50" s="37" t="s">
        <v>42</v>
      </c>
      <c r="K50" s="37" t="s">
        <v>17</v>
      </c>
      <c r="L50" s="40">
        <v>66929</v>
      </c>
      <c r="M50" s="42">
        <v>54397</v>
      </c>
      <c r="N50" s="317" t="s">
        <v>456</v>
      </c>
      <c r="O50" s="39">
        <v>1099500</v>
      </c>
      <c r="P50" s="68"/>
      <c r="Q50" s="68">
        <v>1094500</v>
      </c>
      <c r="R50" s="84">
        <f t="shared" si="9"/>
        <v>5000</v>
      </c>
      <c r="S50" s="51">
        <f t="shared" si="12"/>
        <v>551500</v>
      </c>
      <c r="T50" s="37">
        <v>70</v>
      </c>
      <c r="U50" s="29">
        <v>0.15</v>
      </c>
      <c r="V50" s="74">
        <v>547250</v>
      </c>
      <c r="W50" s="73">
        <f t="shared" si="17"/>
        <v>750</v>
      </c>
      <c r="X50" s="153">
        <f t="shared" si="13"/>
        <v>548000</v>
      </c>
      <c r="Y50" s="132">
        <f t="shared" si="14"/>
        <v>0.55000000000000004</v>
      </c>
      <c r="Z50" s="62">
        <f t="shared" si="15"/>
        <v>0.15</v>
      </c>
    </row>
    <row r="51" spans="1:26" s="8" customFormat="1" ht="16.95" customHeight="1" x14ac:dyDescent="0.3">
      <c r="A51" s="152">
        <f t="shared" si="16"/>
        <v>80</v>
      </c>
      <c r="B51" s="7">
        <f t="shared" si="11"/>
        <v>27</v>
      </c>
      <c r="C51" s="88">
        <v>53</v>
      </c>
      <c r="D51" s="76" t="s">
        <v>68</v>
      </c>
      <c r="E51" s="46" t="s">
        <v>515</v>
      </c>
      <c r="F51" s="46" t="s">
        <v>365</v>
      </c>
      <c r="G51" s="46" t="s">
        <v>70</v>
      </c>
      <c r="H51" s="37" t="s">
        <v>21</v>
      </c>
      <c r="I51" s="46" t="s">
        <v>441</v>
      </c>
      <c r="J51" s="47" t="s">
        <v>119</v>
      </c>
      <c r="K51" s="46" t="s">
        <v>60</v>
      </c>
      <c r="L51" s="48">
        <v>2004</v>
      </c>
      <c r="M51" s="49">
        <v>52946</v>
      </c>
      <c r="N51" s="317" t="s">
        <v>456</v>
      </c>
      <c r="O51" s="82">
        <v>286600</v>
      </c>
      <c r="P51" s="69"/>
      <c r="Q51" s="69">
        <v>245000</v>
      </c>
      <c r="R51" s="84">
        <f t="shared" ref="R51:R82" si="18">O51-P51-Q51</f>
        <v>41600</v>
      </c>
      <c r="S51" s="51">
        <f t="shared" si="12"/>
        <v>82050</v>
      </c>
      <c r="T51" s="46">
        <v>180</v>
      </c>
      <c r="U51" s="29">
        <v>0.5</v>
      </c>
      <c r="V51" s="74">
        <v>183750</v>
      </c>
      <c r="W51" s="73">
        <f t="shared" si="17"/>
        <v>20800</v>
      </c>
      <c r="X51" s="153">
        <f t="shared" si="13"/>
        <v>204550</v>
      </c>
      <c r="Y51" s="132">
        <f t="shared" si="14"/>
        <v>0.33</v>
      </c>
      <c r="Z51" s="62">
        <f t="shared" si="15"/>
        <v>0.5</v>
      </c>
    </row>
    <row r="52" spans="1:26" s="8" customFormat="1" ht="16.95" customHeight="1" x14ac:dyDescent="0.3">
      <c r="A52" s="152">
        <f t="shared" si="16"/>
        <v>79.75</v>
      </c>
      <c r="B52" s="7">
        <f t="shared" si="11"/>
        <v>9.75</v>
      </c>
      <c r="C52" s="88">
        <v>70</v>
      </c>
      <c r="D52" s="54" t="s">
        <v>68</v>
      </c>
      <c r="E52" s="37" t="s">
        <v>472</v>
      </c>
      <c r="F52" s="37" t="s">
        <v>337</v>
      </c>
      <c r="G52" s="37" t="s">
        <v>338</v>
      </c>
      <c r="H52" s="37" t="s">
        <v>19</v>
      </c>
      <c r="I52" s="37" t="s">
        <v>53</v>
      </c>
      <c r="J52" s="37" t="s">
        <v>40</v>
      </c>
      <c r="K52" s="37" t="s">
        <v>38</v>
      </c>
      <c r="L52" s="40">
        <v>20703</v>
      </c>
      <c r="M52" s="41">
        <v>61046</v>
      </c>
      <c r="N52" s="317" t="s">
        <v>456</v>
      </c>
      <c r="O52" s="39">
        <v>1129250</v>
      </c>
      <c r="P52" s="68"/>
      <c r="Q52" s="68">
        <v>550000</v>
      </c>
      <c r="R52" s="84">
        <f t="shared" si="18"/>
        <v>579250</v>
      </c>
      <c r="S52" s="51">
        <f t="shared" si="12"/>
        <v>658825</v>
      </c>
      <c r="T52" s="37">
        <v>65</v>
      </c>
      <c r="U52" s="29">
        <v>0.1</v>
      </c>
      <c r="V52" s="74">
        <v>412500</v>
      </c>
      <c r="W52" s="73">
        <f t="shared" si="17"/>
        <v>57925</v>
      </c>
      <c r="X52" s="153">
        <f t="shared" si="13"/>
        <v>470425</v>
      </c>
      <c r="Y52" s="132">
        <f t="shared" si="14"/>
        <v>0.55000000000000004</v>
      </c>
      <c r="Z52" s="62">
        <f t="shared" si="15"/>
        <v>0.1</v>
      </c>
    </row>
    <row r="53" spans="1:26" s="8" customFormat="1" ht="16.95" customHeight="1" x14ac:dyDescent="0.3">
      <c r="A53" s="152">
        <f t="shared" si="16"/>
        <v>79.75</v>
      </c>
      <c r="B53" s="7">
        <f t="shared" si="11"/>
        <v>9.75</v>
      </c>
      <c r="C53" s="88">
        <v>70</v>
      </c>
      <c r="D53" s="54" t="s">
        <v>68</v>
      </c>
      <c r="E53" s="37" t="s">
        <v>472</v>
      </c>
      <c r="F53" s="37" t="s">
        <v>339</v>
      </c>
      <c r="G53" s="37" t="s">
        <v>340</v>
      </c>
      <c r="H53" s="37" t="s">
        <v>19</v>
      </c>
      <c r="I53" s="37" t="s">
        <v>53</v>
      </c>
      <c r="J53" s="37" t="s">
        <v>40</v>
      </c>
      <c r="K53" s="37" t="s">
        <v>38</v>
      </c>
      <c r="L53" s="40">
        <v>20703</v>
      </c>
      <c r="M53" s="41">
        <v>61046</v>
      </c>
      <c r="N53" s="317" t="s">
        <v>456</v>
      </c>
      <c r="O53" s="39">
        <v>1129250</v>
      </c>
      <c r="P53" s="68"/>
      <c r="Q53" s="68">
        <v>550000</v>
      </c>
      <c r="R53" s="84">
        <f t="shared" si="18"/>
        <v>579250</v>
      </c>
      <c r="S53" s="51">
        <f t="shared" si="12"/>
        <v>933825</v>
      </c>
      <c r="T53" s="37">
        <v>65</v>
      </c>
      <c r="U53" s="29">
        <v>0.1</v>
      </c>
      <c r="V53" s="74">
        <v>137500</v>
      </c>
      <c r="W53" s="73">
        <f t="shared" si="17"/>
        <v>57925</v>
      </c>
      <c r="X53" s="153">
        <f t="shared" si="13"/>
        <v>195425</v>
      </c>
      <c r="Y53" s="132">
        <f t="shared" si="14"/>
        <v>0.55000000000000004</v>
      </c>
      <c r="Z53" s="62">
        <f t="shared" si="15"/>
        <v>0.1</v>
      </c>
    </row>
    <row r="54" spans="1:26" s="8" customFormat="1" ht="16.95" customHeight="1" x14ac:dyDescent="0.3">
      <c r="A54" s="152">
        <f t="shared" si="16"/>
        <v>79.5</v>
      </c>
      <c r="B54" s="7">
        <f t="shared" si="11"/>
        <v>7.5</v>
      </c>
      <c r="C54" s="88">
        <v>72</v>
      </c>
      <c r="D54" s="54" t="s">
        <v>56</v>
      </c>
      <c r="E54" s="37" t="s">
        <v>96</v>
      </c>
      <c r="F54" s="37" t="s">
        <v>98</v>
      </c>
      <c r="G54" s="37" t="s">
        <v>99</v>
      </c>
      <c r="H54" s="37" t="s">
        <v>15</v>
      </c>
      <c r="I54" s="37" t="s">
        <v>416</v>
      </c>
      <c r="J54" s="37" t="s">
        <v>40</v>
      </c>
      <c r="K54" s="37" t="s">
        <v>39</v>
      </c>
      <c r="L54" s="38">
        <v>12703</v>
      </c>
      <c r="M54" s="39">
        <v>60427</v>
      </c>
      <c r="N54" s="105">
        <f>Y54</f>
        <v>0.55000000000000004</v>
      </c>
      <c r="O54" s="39">
        <v>3745543</v>
      </c>
      <c r="P54" s="68"/>
      <c r="Q54" s="68"/>
      <c r="R54" s="84">
        <f t="shared" si="18"/>
        <v>3745543</v>
      </c>
      <c r="S54" s="51">
        <f t="shared" si="12"/>
        <v>3745543</v>
      </c>
      <c r="T54" s="37">
        <v>50</v>
      </c>
      <c r="U54" s="29">
        <v>0</v>
      </c>
      <c r="V54" s="74">
        <v>0</v>
      </c>
      <c r="W54" s="73">
        <f t="shared" si="17"/>
        <v>0</v>
      </c>
      <c r="X54" s="153">
        <f t="shared" si="13"/>
        <v>0</v>
      </c>
      <c r="Y54" s="132">
        <f t="shared" si="14"/>
        <v>0.55000000000000004</v>
      </c>
      <c r="Z54" s="62">
        <f t="shared" si="15"/>
        <v>0</v>
      </c>
    </row>
    <row r="55" spans="1:26" s="8" customFormat="1" ht="16.95" customHeight="1" x14ac:dyDescent="0.3">
      <c r="A55" s="152">
        <f t="shared" si="16"/>
        <v>79</v>
      </c>
      <c r="B55" s="7">
        <f t="shared" si="11"/>
        <v>18</v>
      </c>
      <c r="C55" s="88">
        <v>61</v>
      </c>
      <c r="D55" s="54" t="s">
        <v>56</v>
      </c>
      <c r="E55" s="37" t="s">
        <v>482</v>
      </c>
      <c r="F55" s="37" t="s">
        <v>306</v>
      </c>
      <c r="G55" s="37" t="s">
        <v>307</v>
      </c>
      <c r="H55" s="37" t="s">
        <v>16</v>
      </c>
      <c r="I55" s="37" t="s">
        <v>52</v>
      </c>
      <c r="J55" s="37" t="s">
        <v>144</v>
      </c>
      <c r="K55" s="37" t="s">
        <v>17</v>
      </c>
      <c r="L55" s="40">
        <v>4038</v>
      </c>
      <c r="M55" s="42">
        <v>57583</v>
      </c>
      <c r="N55" s="105">
        <f>Y55</f>
        <v>0.55000000000000004</v>
      </c>
      <c r="O55" s="39">
        <v>15373913</v>
      </c>
      <c r="P55" s="68"/>
      <c r="Q55" s="68"/>
      <c r="R55" s="84">
        <f t="shared" si="18"/>
        <v>15373913</v>
      </c>
      <c r="S55" s="51">
        <f t="shared" si="12"/>
        <v>13773913</v>
      </c>
      <c r="T55" s="37">
        <v>120</v>
      </c>
      <c r="U55" s="29">
        <v>0.3</v>
      </c>
      <c r="V55" s="74">
        <v>0</v>
      </c>
      <c r="W55" s="73">
        <v>1600000</v>
      </c>
      <c r="X55" s="153">
        <f t="shared" si="13"/>
        <v>1600000</v>
      </c>
      <c r="Y55" s="132">
        <f t="shared" si="14"/>
        <v>0.55000000000000004</v>
      </c>
      <c r="Z55" s="62">
        <f t="shared" si="15"/>
        <v>0.3</v>
      </c>
    </row>
    <row r="56" spans="1:26" s="8" customFormat="1" ht="16.95" customHeight="1" x14ac:dyDescent="0.3">
      <c r="A56" s="152">
        <f t="shared" si="16"/>
        <v>78.5</v>
      </c>
      <c r="B56" s="7">
        <f t="shared" si="11"/>
        <v>13.5</v>
      </c>
      <c r="C56" s="88">
        <v>65</v>
      </c>
      <c r="D56" s="54" t="s">
        <v>68</v>
      </c>
      <c r="E56" s="37" t="s">
        <v>468</v>
      </c>
      <c r="F56" s="37" t="s">
        <v>378</v>
      </c>
      <c r="G56" s="37" t="s">
        <v>598</v>
      </c>
      <c r="H56" s="37" t="s">
        <v>12</v>
      </c>
      <c r="I56" s="37" t="s">
        <v>426</v>
      </c>
      <c r="J56" s="37" t="s">
        <v>43</v>
      </c>
      <c r="K56" s="37" t="s">
        <v>60</v>
      </c>
      <c r="L56" s="40">
        <v>40199</v>
      </c>
      <c r="M56" s="41">
        <v>53800</v>
      </c>
      <c r="N56" s="317" t="s">
        <v>456</v>
      </c>
      <c r="O56" s="39">
        <v>5790028</v>
      </c>
      <c r="P56" s="68"/>
      <c r="Q56" s="68">
        <v>5790028</v>
      </c>
      <c r="R56" s="84">
        <f t="shared" si="18"/>
        <v>0</v>
      </c>
      <c r="S56" s="51">
        <f t="shared" si="12"/>
        <v>2148950</v>
      </c>
      <c r="T56" s="37">
        <v>90</v>
      </c>
      <c r="U56" s="29">
        <v>0.2</v>
      </c>
      <c r="V56" s="74">
        <v>3641078</v>
      </c>
      <c r="W56" s="73">
        <v>0</v>
      </c>
      <c r="X56" s="153">
        <f t="shared" si="13"/>
        <v>3641078</v>
      </c>
      <c r="Y56" s="132">
        <f t="shared" si="14"/>
        <v>0.55000000000000004</v>
      </c>
      <c r="Z56" s="62">
        <f t="shared" si="15"/>
        <v>0.2</v>
      </c>
    </row>
    <row r="57" spans="1:26" s="8" customFormat="1" ht="16.95" customHeight="1" x14ac:dyDescent="0.3">
      <c r="A57" s="152">
        <f t="shared" si="16"/>
        <v>78</v>
      </c>
      <c r="B57" s="7">
        <f t="shared" si="11"/>
        <v>18</v>
      </c>
      <c r="C57" s="88">
        <v>60</v>
      </c>
      <c r="D57" s="54" t="s">
        <v>68</v>
      </c>
      <c r="E57" s="37" t="s">
        <v>509</v>
      </c>
      <c r="F57" s="37" t="s">
        <v>445</v>
      </c>
      <c r="G57" s="37" t="s">
        <v>70</v>
      </c>
      <c r="H57" s="37" t="s">
        <v>16</v>
      </c>
      <c r="I57" s="37" t="s">
        <v>439</v>
      </c>
      <c r="J57" s="45" t="s">
        <v>129</v>
      </c>
      <c r="K57" s="37" t="s">
        <v>17</v>
      </c>
      <c r="L57" s="40">
        <v>7491</v>
      </c>
      <c r="M57" s="42">
        <v>55629</v>
      </c>
      <c r="N57" s="317" t="s">
        <v>456</v>
      </c>
      <c r="O57" s="81">
        <v>395150</v>
      </c>
      <c r="P57" s="68"/>
      <c r="Q57" s="68">
        <v>75600</v>
      </c>
      <c r="R57" s="84">
        <f t="shared" si="18"/>
        <v>319550</v>
      </c>
      <c r="S57" s="51">
        <f t="shared" si="12"/>
        <v>261485</v>
      </c>
      <c r="T57" s="37">
        <v>120</v>
      </c>
      <c r="U57" s="29">
        <v>0.3</v>
      </c>
      <c r="V57" s="74">
        <v>37800</v>
      </c>
      <c r="W57" s="73">
        <f t="shared" ref="W57:W69" si="19">ROUNDUP((R57*U57),0)</f>
        <v>95865</v>
      </c>
      <c r="X57" s="153">
        <f t="shared" si="13"/>
        <v>133665</v>
      </c>
      <c r="Y57" s="132">
        <f t="shared" si="14"/>
        <v>0.55000000000000004</v>
      </c>
      <c r="Z57" s="62">
        <f t="shared" si="15"/>
        <v>0.3</v>
      </c>
    </row>
    <row r="58" spans="1:26" s="8" customFormat="1" ht="16.95" customHeight="1" x14ac:dyDescent="0.3">
      <c r="A58" s="152">
        <f t="shared" si="16"/>
        <v>77.75</v>
      </c>
      <c r="B58" s="7">
        <f t="shared" si="11"/>
        <v>3.75</v>
      </c>
      <c r="C58" s="88">
        <v>74</v>
      </c>
      <c r="D58" s="54" t="s">
        <v>68</v>
      </c>
      <c r="E58" s="37" t="s">
        <v>476</v>
      </c>
      <c r="F58" s="37" t="s">
        <v>200</v>
      </c>
      <c r="G58" s="37" t="s">
        <v>201</v>
      </c>
      <c r="H58" s="37" t="s">
        <v>16</v>
      </c>
      <c r="I58" s="37" t="s">
        <v>420</v>
      </c>
      <c r="J58" s="92" t="s">
        <v>14</v>
      </c>
      <c r="K58" s="37" t="s">
        <v>17</v>
      </c>
      <c r="L58" s="40">
        <v>17441</v>
      </c>
      <c r="M58" s="42">
        <v>69308</v>
      </c>
      <c r="N58" s="317" t="s">
        <v>456</v>
      </c>
      <c r="O58" s="39">
        <v>28881</v>
      </c>
      <c r="P58" s="68"/>
      <c r="Q58" s="68">
        <v>9242</v>
      </c>
      <c r="R58" s="84">
        <f t="shared" si="18"/>
        <v>19639</v>
      </c>
      <c r="S58" s="51">
        <f t="shared" si="12"/>
        <v>26570</v>
      </c>
      <c r="T58" s="37">
        <v>25</v>
      </c>
      <c r="U58" s="29">
        <v>0</v>
      </c>
      <c r="V58" s="74">
        <v>2311</v>
      </c>
      <c r="W58" s="73">
        <f t="shared" si="19"/>
        <v>0</v>
      </c>
      <c r="X58" s="153">
        <f t="shared" si="13"/>
        <v>2311</v>
      </c>
      <c r="Y58" s="132">
        <f t="shared" si="14"/>
        <v>0.55000000000000004</v>
      </c>
      <c r="Z58" s="62">
        <f t="shared" si="15"/>
        <v>0</v>
      </c>
    </row>
    <row r="59" spans="1:26" s="8" customFormat="1" ht="16.95" customHeight="1" x14ac:dyDescent="0.3">
      <c r="A59" s="152">
        <f t="shared" si="16"/>
        <v>77.75</v>
      </c>
      <c r="B59" s="7">
        <f t="shared" si="11"/>
        <v>3.75</v>
      </c>
      <c r="C59" s="88">
        <v>74</v>
      </c>
      <c r="D59" s="54" t="s">
        <v>68</v>
      </c>
      <c r="E59" s="37" t="s">
        <v>476</v>
      </c>
      <c r="F59" s="37" t="s">
        <v>202</v>
      </c>
      <c r="G59" s="37" t="s">
        <v>203</v>
      </c>
      <c r="H59" s="37" t="s">
        <v>16</v>
      </c>
      <c r="I59" s="37" t="s">
        <v>420</v>
      </c>
      <c r="J59" s="92" t="s">
        <v>14</v>
      </c>
      <c r="K59" s="37" t="s">
        <v>17</v>
      </c>
      <c r="L59" s="40">
        <v>17441</v>
      </c>
      <c r="M59" s="42">
        <v>69308</v>
      </c>
      <c r="N59" s="317" t="s">
        <v>456</v>
      </c>
      <c r="O59" s="39">
        <v>363659</v>
      </c>
      <c r="P59" s="68"/>
      <c r="Q59" s="68">
        <v>216083</v>
      </c>
      <c r="R59" s="84">
        <f t="shared" si="18"/>
        <v>147576</v>
      </c>
      <c r="S59" s="51">
        <f t="shared" si="12"/>
        <v>147576</v>
      </c>
      <c r="T59" s="37">
        <v>25</v>
      </c>
      <c r="U59" s="29">
        <v>0</v>
      </c>
      <c r="V59" s="74">
        <v>216083</v>
      </c>
      <c r="W59" s="73">
        <f t="shared" si="19"/>
        <v>0</v>
      </c>
      <c r="X59" s="153">
        <f t="shared" si="13"/>
        <v>216083</v>
      </c>
      <c r="Y59" s="132">
        <f t="shared" si="14"/>
        <v>0.55000000000000004</v>
      </c>
      <c r="Z59" s="62">
        <f t="shared" si="15"/>
        <v>0</v>
      </c>
    </row>
    <row r="60" spans="1:26" s="8" customFormat="1" ht="16.95" customHeight="1" x14ac:dyDescent="0.3">
      <c r="A60" s="152">
        <f t="shared" si="16"/>
        <v>77.5</v>
      </c>
      <c r="B60" s="7">
        <f t="shared" si="11"/>
        <v>7.5</v>
      </c>
      <c r="C60" s="88">
        <v>70</v>
      </c>
      <c r="D60" s="54" t="s">
        <v>68</v>
      </c>
      <c r="E60" s="37" t="s">
        <v>96</v>
      </c>
      <c r="F60" s="37" t="s">
        <v>97</v>
      </c>
      <c r="G60" s="37" t="s">
        <v>70</v>
      </c>
      <c r="H60" s="37" t="s">
        <v>15</v>
      </c>
      <c r="I60" s="37" t="s">
        <v>416</v>
      </c>
      <c r="J60" s="37" t="s">
        <v>40</v>
      </c>
      <c r="K60" s="37" t="s">
        <v>39</v>
      </c>
      <c r="L60" s="38">
        <v>12703</v>
      </c>
      <c r="M60" s="39">
        <v>60427</v>
      </c>
      <c r="N60" s="317" t="s">
        <v>456</v>
      </c>
      <c r="O60" s="39">
        <v>1000001</v>
      </c>
      <c r="P60" s="68"/>
      <c r="Q60" s="68">
        <v>814000</v>
      </c>
      <c r="R60" s="84">
        <f t="shared" si="18"/>
        <v>186001</v>
      </c>
      <c r="S60" s="51">
        <f t="shared" si="12"/>
        <v>796501</v>
      </c>
      <c r="T60" s="37">
        <v>50</v>
      </c>
      <c r="U60" s="29">
        <v>0</v>
      </c>
      <c r="V60" s="74">
        <v>203500</v>
      </c>
      <c r="W60" s="73">
        <f t="shared" si="19"/>
        <v>0</v>
      </c>
      <c r="X60" s="153">
        <f t="shared" si="13"/>
        <v>203500</v>
      </c>
      <c r="Y60" s="132">
        <f t="shared" si="14"/>
        <v>0.55000000000000004</v>
      </c>
      <c r="Z60" s="62">
        <f t="shared" si="15"/>
        <v>0</v>
      </c>
    </row>
    <row r="61" spans="1:26" s="8" customFormat="1" ht="16.95" customHeight="1" x14ac:dyDescent="0.3">
      <c r="A61" s="152">
        <f t="shared" si="16"/>
        <v>75.5</v>
      </c>
      <c r="B61" s="7">
        <f t="shared" si="11"/>
        <v>10.5</v>
      </c>
      <c r="C61" s="88">
        <v>65</v>
      </c>
      <c r="D61" s="54" t="s">
        <v>68</v>
      </c>
      <c r="E61" s="37" t="s">
        <v>350</v>
      </c>
      <c r="F61" s="37" t="s">
        <v>353</v>
      </c>
      <c r="G61" s="37" t="s">
        <v>70</v>
      </c>
      <c r="H61" s="37" t="s">
        <v>16</v>
      </c>
      <c r="I61" s="37" t="s">
        <v>50</v>
      </c>
      <c r="J61" s="37" t="s">
        <v>40</v>
      </c>
      <c r="K61" s="37" t="s">
        <v>17</v>
      </c>
      <c r="L61" s="40">
        <v>11243</v>
      </c>
      <c r="M61" s="41">
        <v>54544</v>
      </c>
      <c r="N61" s="317" t="s">
        <v>456</v>
      </c>
      <c r="O61" s="39">
        <v>1613000</v>
      </c>
      <c r="P61" s="68"/>
      <c r="Q61" s="68">
        <v>1589500</v>
      </c>
      <c r="R61" s="84">
        <f t="shared" si="18"/>
        <v>23500</v>
      </c>
      <c r="S61" s="51">
        <f t="shared" si="12"/>
        <v>1212100</v>
      </c>
      <c r="T61" s="37">
        <v>70</v>
      </c>
      <c r="U61" s="29">
        <v>0.15</v>
      </c>
      <c r="V61" s="74">
        <v>397375</v>
      </c>
      <c r="W61" s="73">
        <f t="shared" si="19"/>
        <v>3525</v>
      </c>
      <c r="X61" s="153">
        <f t="shared" si="13"/>
        <v>400900</v>
      </c>
      <c r="Y61" s="132">
        <f t="shared" si="14"/>
        <v>0.55000000000000004</v>
      </c>
      <c r="Z61" s="62">
        <f t="shared" si="15"/>
        <v>0.15</v>
      </c>
    </row>
    <row r="62" spans="1:26" s="8" customFormat="1" ht="16.95" customHeight="1" x14ac:dyDescent="0.3">
      <c r="A62" s="152">
        <f t="shared" si="16"/>
        <v>75.25</v>
      </c>
      <c r="B62" s="7">
        <f t="shared" si="11"/>
        <v>5.25</v>
      </c>
      <c r="C62" s="88">
        <v>70</v>
      </c>
      <c r="D62" s="54" t="s">
        <v>68</v>
      </c>
      <c r="E62" s="37" t="s">
        <v>506</v>
      </c>
      <c r="F62" s="37" t="s">
        <v>174</v>
      </c>
      <c r="G62" s="37" t="s">
        <v>70</v>
      </c>
      <c r="H62" s="37" t="s">
        <v>15</v>
      </c>
      <c r="I62" s="37" t="s">
        <v>402</v>
      </c>
      <c r="J62" s="37" t="s">
        <v>129</v>
      </c>
      <c r="K62" s="37" t="s">
        <v>39</v>
      </c>
      <c r="L62" s="40">
        <v>5821</v>
      </c>
      <c r="M62" s="42">
        <v>78143</v>
      </c>
      <c r="N62" s="317" t="s">
        <v>456</v>
      </c>
      <c r="O62" s="39">
        <v>698000</v>
      </c>
      <c r="P62" s="68"/>
      <c r="Q62" s="68">
        <v>0</v>
      </c>
      <c r="R62" s="84">
        <f t="shared" si="18"/>
        <v>698000</v>
      </c>
      <c r="S62" s="51">
        <f t="shared" si="12"/>
        <v>698000</v>
      </c>
      <c r="T62" s="37">
        <v>35</v>
      </c>
      <c r="U62" s="29">
        <v>0</v>
      </c>
      <c r="V62" s="74">
        <v>0</v>
      </c>
      <c r="W62" s="73">
        <f t="shared" si="19"/>
        <v>0</v>
      </c>
      <c r="X62" s="153">
        <f t="shared" si="13"/>
        <v>0</v>
      </c>
      <c r="Y62" s="132">
        <f t="shared" si="14"/>
        <v>0.55000000000000004</v>
      </c>
      <c r="Z62" s="62">
        <f t="shared" si="15"/>
        <v>0</v>
      </c>
    </row>
    <row r="63" spans="1:26" s="8" customFormat="1" ht="16.95" customHeight="1" x14ac:dyDescent="0.3">
      <c r="A63" s="152">
        <f t="shared" si="16"/>
        <v>75</v>
      </c>
      <c r="B63" s="7">
        <f t="shared" si="11"/>
        <v>9</v>
      </c>
      <c r="C63" s="88">
        <v>66</v>
      </c>
      <c r="D63" s="54" t="s">
        <v>56</v>
      </c>
      <c r="E63" s="37" t="s">
        <v>100</v>
      </c>
      <c r="F63" s="37" t="s">
        <v>102</v>
      </c>
      <c r="G63" s="37" t="s">
        <v>103</v>
      </c>
      <c r="H63" s="37" t="s">
        <v>15</v>
      </c>
      <c r="I63" s="37" t="s">
        <v>417</v>
      </c>
      <c r="J63" s="37" t="s">
        <v>101</v>
      </c>
      <c r="K63" s="37" t="s">
        <v>39</v>
      </c>
      <c r="L63" s="38">
        <v>1338</v>
      </c>
      <c r="M63" s="39">
        <v>95956</v>
      </c>
      <c r="N63" s="105">
        <f>Y63</f>
        <v>0.55000000000000004</v>
      </c>
      <c r="O63" s="39">
        <v>2254946</v>
      </c>
      <c r="P63" s="68"/>
      <c r="Q63" s="68"/>
      <c r="R63" s="84">
        <f t="shared" si="18"/>
        <v>2254946</v>
      </c>
      <c r="S63" s="51">
        <f t="shared" si="12"/>
        <v>2029451</v>
      </c>
      <c r="T63" s="37">
        <v>60</v>
      </c>
      <c r="U63" s="29">
        <v>0.1</v>
      </c>
      <c r="V63" s="74">
        <v>0</v>
      </c>
      <c r="W63" s="73">
        <f t="shared" si="19"/>
        <v>225495</v>
      </c>
      <c r="X63" s="153">
        <f t="shared" si="13"/>
        <v>225495</v>
      </c>
      <c r="Y63" s="132">
        <f t="shared" si="14"/>
        <v>0.55000000000000004</v>
      </c>
      <c r="Z63" s="62">
        <f t="shared" si="15"/>
        <v>0.1</v>
      </c>
    </row>
    <row r="64" spans="1:26" s="8" customFormat="1" ht="16.95" customHeight="1" x14ac:dyDescent="0.3">
      <c r="A64" s="152">
        <f t="shared" si="16"/>
        <v>75</v>
      </c>
      <c r="B64" s="7">
        <f t="shared" si="11"/>
        <v>42</v>
      </c>
      <c r="C64" s="88">
        <v>33</v>
      </c>
      <c r="D64" s="54" t="s">
        <v>56</v>
      </c>
      <c r="E64" s="37" t="s">
        <v>296</v>
      </c>
      <c r="F64" s="37" t="s">
        <v>297</v>
      </c>
      <c r="G64" s="37" t="s">
        <v>298</v>
      </c>
      <c r="H64" s="37" t="s">
        <v>21</v>
      </c>
      <c r="I64" s="37" t="s">
        <v>440</v>
      </c>
      <c r="J64" s="37" t="s">
        <v>40</v>
      </c>
      <c r="K64" s="37" t="s">
        <v>60</v>
      </c>
      <c r="L64" s="40">
        <v>1525</v>
      </c>
      <c r="M64" s="42">
        <v>40982</v>
      </c>
      <c r="N64" s="105">
        <f>Y64</f>
        <v>0.33</v>
      </c>
      <c r="O64" s="39">
        <v>1239500</v>
      </c>
      <c r="P64" s="68"/>
      <c r="Q64" s="68"/>
      <c r="R64" s="84">
        <f t="shared" si="18"/>
        <v>1239500</v>
      </c>
      <c r="S64" s="51">
        <f t="shared" si="12"/>
        <v>433825</v>
      </c>
      <c r="T64" s="37">
        <v>280</v>
      </c>
      <c r="U64" s="29">
        <v>0.65</v>
      </c>
      <c r="V64" s="74">
        <v>0</v>
      </c>
      <c r="W64" s="73">
        <f t="shared" si="19"/>
        <v>805675</v>
      </c>
      <c r="X64" s="153">
        <f t="shared" si="13"/>
        <v>805675</v>
      </c>
      <c r="Y64" s="132">
        <f t="shared" si="14"/>
        <v>0.33</v>
      </c>
      <c r="Z64" s="62">
        <f t="shared" si="15"/>
        <v>0.65</v>
      </c>
    </row>
    <row r="65" spans="1:26" s="8" customFormat="1" ht="16.95" customHeight="1" x14ac:dyDescent="0.3">
      <c r="A65" s="152">
        <f t="shared" si="16"/>
        <v>74.75</v>
      </c>
      <c r="B65" s="7">
        <f t="shared" si="11"/>
        <v>12.75</v>
      </c>
      <c r="C65" s="88">
        <v>62</v>
      </c>
      <c r="D65" s="54" t="s">
        <v>56</v>
      </c>
      <c r="E65" s="37" t="s">
        <v>135</v>
      </c>
      <c r="F65" s="37" t="s">
        <v>138</v>
      </c>
      <c r="G65" s="37" t="s">
        <v>139</v>
      </c>
      <c r="H65" s="37" t="s">
        <v>19</v>
      </c>
      <c r="I65" s="37" t="s">
        <v>405</v>
      </c>
      <c r="J65" s="37" t="s">
        <v>23</v>
      </c>
      <c r="K65" s="37" t="s">
        <v>38</v>
      </c>
      <c r="L65" s="38">
        <v>726</v>
      </c>
      <c r="M65" s="42">
        <v>81429</v>
      </c>
      <c r="N65" s="105">
        <f>Y65</f>
        <v>0.55000000000000004</v>
      </c>
      <c r="O65" s="39">
        <v>1953690</v>
      </c>
      <c r="P65" s="68"/>
      <c r="Q65" s="68"/>
      <c r="R65" s="84">
        <f t="shared" si="18"/>
        <v>1953690</v>
      </c>
      <c r="S65" s="51">
        <f t="shared" si="12"/>
        <v>1562952</v>
      </c>
      <c r="T65" s="37">
        <v>85</v>
      </c>
      <c r="U65" s="29">
        <v>0.2</v>
      </c>
      <c r="V65" s="74">
        <v>0</v>
      </c>
      <c r="W65" s="73">
        <f t="shared" si="19"/>
        <v>390738</v>
      </c>
      <c r="X65" s="153">
        <f t="shared" si="13"/>
        <v>390738</v>
      </c>
      <c r="Y65" s="132">
        <f t="shared" si="14"/>
        <v>0.55000000000000004</v>
      </c>
      <c r="Z65" s="62">
        <f t="shared" si="15"/>
        <v>0.2</v>
      </c>
    </row>
    <row r="66" spans="1:26" s="8" customFormat="1" ht="16.95" customHeight="1" x14ac:dyDescent="0.3">
      <c r="A66" s="152">
        <f t="shared" si="16"/>
        <v>74.25</v>
      </c>
      <c r="B66" s="7">
        <f t="shared" si="11"/>
        <v>29.25</v>
      </c>
      <c r="C66" s="88">
        <v>45</v>
      </c>
      <c r="D66" s="54" t="s">
        <v>68</v>
      </c>
      <c r="E66" s="37" t="s">
        <v>508</v>
      </c>
      <c r="F66" s="37" t="s">
        <v>267</v>
      </c>
      <c r="G66" s="37" t="s">
        <v>70</v>
      </c>
      <c r="H66" s="37" t="s">
        <v>21</v>
      </c>
      <c r="I66" s="37" t="s">
        <v>436</v>
      </c>
      <c r="J66" s="37" t="s">
        <v>129</v>
      </c>
      <c r="K66" s="37" t="s">
        <v>60</v>
      </c>
      <c r="L66" s="40">
        <v>799</v>
      </c>
      <c r="M66" s="42">
        <v>53500</v>
      </c>
      <c r="N66" s="317" t="s">
        <v>456</v>
      </c>
      <c r="O66" s="39">
        <v>175000</v>
      </c>
      <c r="P66" s="68"/>
      <c r="Q66" s="68">
        <v>90000</v>
      </c>
      <c r="R66" s="84">
        <f t="shared" si="18"/>
        <v>85000</v>
      </c>
      <c r="S66" s="51">
        <f t="shared" si="12"/>
        <v>60750</v>
      </c>
      <c r="T66" s="37">
        <v>195</v>
      </c>
      <c r="U66" s="29">
        <v>0.55000000000000004</v>
      </c>
      <c r="V66" s="74">
        <v>67500</v>
      </c>
      <c r="W66" s="73">
        <f t="shared" si="19"/>
        <v>46750</v>
      </c>
      <c r="X66" s="153">
        <f t="shared" si="13"/>
        <v>114250</v>
      </c>
      <c r="Y66" s="132">
        <f t="shared" si="14"/>
        <v>0.33</v>
      </c>
      <c r="Z66" s="62">
        <f t="shared" si="15"/>
        <v>0.55000000000000004</v>
      </c>
    </row>
    <row r="67" spans="1:26" s="8" customFormat="1" ht="16.95" customHeight="1" x14ac:dyDescent="0.3">
      <c r="A67" s="152">
        <f t="shared" si="16"/>
        <v>74</v>
      </c>
      <c r="B67" s="7">
        <f t="shared" si="11"/>
        <v>12</v>
      </c>
      <c r="C67" s="88">
        <v>62</v>
      </c>
      <c r="D67" s="54" t="s">
        <v>56</v>
      </c>
      <c r="E67" s="37" t="s">
        <v>261</v>
      </c>
      <c r="F67" s="37" t="s">
        <v>262</v>
      </c>
      <c r="G67" s="37" t="s">
        <v>263</v>
      </c>
      <c r="H67" s="37" t="s">
        <v>15</v>
      </c>
      <c r="I67" s="37" t="s">
        <v>435</v>
      </c>
      <c r="J67" s="37" t="s">
        <v>75</v>
      </c>
      <c r="K67" s="37" t="s">
        <v>39</v>
      </c>
      <c r="L67" s="40">
        <v>1195</v>
      </c>
      <c r="M67" s="42">
        <v>68519</v>
      </c>
      <c r="N67" s="105">
        <f>Y67</f>
        <v>0.55000000000000004</v>
      </c>
      <c r="O67" s="39">
        <v>1628905</v>
      </c>
      <c r="P67" s="68"/>
      <c r="Q67" s="68"/>
      <c r="R67" s="84">
        <f t="shared" si="18"/>
        <v>1628905</v>
      </c>
      <c r="S67" s="51">
        <f t="shared" si="12"/>
        <v>1303124</v>
      </c>
      <c r="T67" s="37">
        <v>80</v>
      </c>
      <c r="U67" s="29">
        <v>0.2</v>
      </c>
      <c r="V67" s="74">
        <v>0</v>
      </c>
      <c r="W67" s="73">
        <f t="shared" si="19"/>
        <v>325781</v>
      </c>
      <c r="X67" s="153">
        <f t="shared" si="13"/>
        <v>325781</v>
      </c>
      <c r="Y67" s="132">
        <f t="shared" si="14"/>
        <v>0.55000000000000004</v>
      </c>
      <c r="Z67" s="62">
        <f t="shared" si="15"/>
        <v>0.2</v>
      </c>
    </row>
    <row r="68" spans="1:26" s="8" customFormat="1" ht="16.95" customHeight="1" x14ac:dyDescent="0.3">
      <c r="A68" s="152">
        <f t="shared" si="16"/>
        <v>73.25</v>
      </c>
      <c r="B68" s="7">
        <f t="shared" si="11"/>
        <v>8.25</v>
      </c>
      <c r="C68" s="88">
        <v>65</v>
      </c>
      <c r="D68" s="54" t="s">
        <v>56</v>
      </c>
      <c r="E68" s="37" t="s">
        <v>333</v>
      </c>
      <c r="F68" s="37" t="s">
        <v>334</v>
      </c>
      <c r="G68" s="37" t="s">
        <v>335</v>
      </c>
      <c r="H68" s="37" t="s">
        <v>19</v>
      </c>
      <c r="I68" s="37" t="s">
        <v>405</v>
      </c>
      <c r="J68" s="37" t="s">
        <v>89</v>
      </c>
      <c r="K68" s="37" t="s">
        <v>38</v>
      </c>
      <c r="L68" s="40">
        <v>8586</v>
      </c>
      <c r="M68" s="41">
        <v>62114</v>
      </c>
      <c r="N68" s="105">
        <f>Y68</f>
        <v>0.55000000000000004</v>
      </c>
      <c r="O68" s="39">
        <v>3235770</v>
      </c>
      <c r="P68" s="68"/>
      <c r="Q68" s="68"/>
      <c r="R68" s="84">
        <f t="shared" si="18"/>
        <v>3235770</v>
      </c>
      <c r="S68" s="51">
        <f t="shared" si="12"/>
        <v>3235770</v>
      </c>
      <c r="T68" s="37">
        <v>55</v>
      </c>
      <c r="U68" s="29">
        <v>0</v>
      </c>
      <c r="V68" s="74">
        <v>0</v>
      </c>
      <c r="W68" s="73">
        <f t="shared" si="19"/>
        <v>0</v>
      </c>
      <c r="X68" s="153">
        <f t="shared" si="13"/>
        <v>0</v>
      </c>
      <c r="Y68" s="132">
        <f t="shared" si="14"/>
        <v>0.55000000000000004</v>
      </c>
      <c r="Z68" s="62">
        <f t="shared" si="15"/>
        <v>0</v>
      </c>
    </row>
    <row r="69" spans="1:26" s="8" customFormat="1" ht="16.95" customHeight="1" x14ac:dyDescent="0.3">
      <c r="A69" s="152">
        <f t="shared" si="16"/>
        <v>73</v>
      </c>
      <c r="B69" s="7">
        <f t="shared" ref="B69:B100" si="20">T69*0.15</f>
        <v>36</v>
      </c>
      <c r="C69" s="88">
        <v>37</v>
      </c>
      <c r="D69" s="54" t="s">
        <v>56</v>
      </c>
      <c r="E69" s="37" t="s">
        <v>314</v>
      </c>
      <c r="F69" s="37" t="s">
        <v>315</v>
      </c>
      <c r="G69" s="37" t="s">
        <v>316</v>
      </c>
      <c r="H69" s="37" t="s">
        <v>12</v>
      </c>
      <c r="I69" s="37" t="s">
        <v>54</v>
      </c>
      <c r="J69" s="37" t="s">
        <v>43</v>
      </c>
      <c r="K69" s="37" t="s">
        <v>13</v>
      </c>
      <c r="L69" s="40">
        <v>372</v>
      </c>
      <c r="M69" s="42">
        <v>32917</v>
      </c>
      <c r="N69" s="105">
        <f>Y69</f>
        <v>0.33</v>
      </c>
      <c r="O69" s="39">
        <v>473268</v>
      </c>
      <c r="P69" s="68"/>
      <c r="Q69" s="68"/>
      <c r="R69" s="84">
        <f t="shared" si="18"/>
        <v>473268</v>
      </c>
      <c r="S69" s="51">
        <f t="shared" ref="S69:S100" si="21">O69-X69</f>
        <v>189307</v>
      </c>
      <c r="T69" s="37">
        <v>240</v>
      </c>
      <c r="U69" s="29">
        <v>0.6</v>
      </c>
      <c r="V69" s="74">
        <v>0</v>
      </c>
      <c r="W69" s="73">
        <f t="shared" si="19"/>
        <v>283961</v>
      </c>
      <c r="X69" s="153">
        <f t="shared" ref="X69:X100" si="22">V69+W69</f>
        <v>283961</v>
      </c>
      <c r="Y69" s="132">
        <f t="shared" ref="Y69:Y100" si="23">IF(AND(L69&lt;10000,M69&lt;53664),33%,55%)</f>
        <v>0.33</v>
      </c>
      <c r="Z69" s="62">
        <f t="shared" ref="Z69:Z100" si="24">IF(T69&gt;=250,0.65,IF(T69&gt;=200,0.6,IF(T69&gt;=185,0.55,IF(T69&gt;=170,0.5,IF(T69&gt;=155,0.45,IF(T69&gt;=140,0.4,IF(T69&gt;=125,0.35,IF(T69&gt;=110,0.3,IF(T69&gt;=95,0.25,IF(T69&gt;=80,0.2,IF(T69&gt;=70,0.15,IF(T69&gt;=60,0.1,IF(T69&lt;60,0)))))))))))))</f>
        <v>0.6</v>
      </c>
    </row>
    <row r="70" spans="1:26" s="8" customFormat="1" ht="16.95" customHeight="1" x14ac:dyDescent="0.3">
      <c r="A70" s="152">
        <f t="shared" si="16"/>
        <v>72.75</v>
      </c>
      <c r="B70" s="7">
        <f t="shared" si="20"/>
        <v>24.75</v>
      </c>
      <c r="C70" s="88">
        <v>48</v>
      </c>
      <c r="D70" s="54" t="s">
        <v>56</v>
      </c>
      <c r="E70" s="37" t="s">
        <v>76</v>
      </c>
      <c r="F70" s="37" t="s">
        <v>79</v>
      </c>
      <c r="G70" s="37" t="s">
        <v>80</v>
      </c>
      <c r="H70" s="37" t="s">
        <v>21</v>
      </c>
      <c r="I70" s="37" t="s">
        <v>406</v>
      </c>
      <c r="J70" s="37" t="s">
        <v>78</v>
      </c>
      <c r="K70" s="37" t="s">
        <v>60</v>
      </c>
      <c r="L70" s="38">
        <v>7819</v>
      </c>
      <c r="M70" s="39">
        <v>50053</v>
      </c>
      <c r="N70" s="105">
        <f>Y70</f>
        <v>0.33</v>
      </c>
      <c r="O70" s="39">
        <v>1709086</v>
      </c>
      <c r="P70" s="68"/>
      <c r="Q70" s="68"/>
      <c r="R70" s="84">
        <f t="shared" si="18"/>
        <v>1709086</v>
      </c>
      <c r="S70" s="51">
        <f t="shared" si="21"/>
        <v>1709086</v>
      </c>
      <c r="T70" s="37">
        <v>165</v>
      </c>
      <c r="U70" s="29">
        <v>0.45</v>
      </c>
      <c r="V70" s="74">
        <v>0</v>
      </c>
      <c r="W70" s="73">
        <v>0</v>
      </c>
      <c r="X70" s="153">
        <f t="shared" si="22"/>
        <v>0</v>
      </c>
      <c r="Y70" s="132">
        <f t="shared" si="23"/>
        <v>0.33</v>
      </c>
      <c r="Z70" s="62">
        <f t="shared" si="24"/>
        <v>0.45</v>
      </c>
    </row>
    <row r="71" spans="1:26" s="8" customFormat="1" ht="16.95" customHeight="1" x14ac:dyDescent="0.3">
      <c r="A71" s="152">
        <f t="shared" si="16"/>
        <v>72.25</v>
      </c>
      <c r="B71" s="7">
        <f t="shared" si="20"/>
        <v>17.25</v>
      </c>
      <c r="C71" s="88">
        <v>55</v>
      </c>
      <c r="D71" s="54" t="s">
        <v>68</v>
      </c>
      <c r="E71" s="37" t="s">
        <v>591</v>
      </c>
      <c r="F71" s="37" t="s">
        <v>302</v>
      </c>
      <c r="G71" s="37" t="s">
        <v>70</v>
      </c>
      <c r="H71" s="37" t="s">
        <v>15</v>
      </c>
      <c r="I71" s="37" t="s">
        <v>422</v>
      </c>
      <c r="J71" s="37" t="s">
        <v>41</v>
      </c>
      <c r="K71" s="37" t="s">
        <v>39</v>
      </c>
      <c r="L71" s="40">
        <v>11154</v>
      </c>
      <c r="M71" s="42">
        <v>46858</v>
      </c>
      <c r="N71" s="317" t="s">
        <v>456</v>
      </c>
      <c r="O71" s="39">
        <v>125400</v>
      </c>
      <c r="P71" s="68"/>
      <c r="Q71" s="68">
        <v>125400</v>
      </c>
      <c r="R71" s="84">
        <f t="shared" si="18"/>
        <v>0</v>
      </c>
      <c r="S71" s="51">
        <f t="shared" si="21"/>
        <v>31350</v>
      </c>
      <c r="T71" s="37">
        <v>115</v>
      </c>
      <c r="U71" s="29">
        <v>0.3</v>
      </c>
      <c r="V71" s="74">
        <v>94050</v>
      </c>
      <c r="W71" s="73">
        <f>ROUNDUP((R71*U71),0)</f>
        <v>0</v>
      </c>
      <c r="X71" s="153">
        <f t="shared" si="22"/>
        <v>94050</v>
      </c>
      <c r="Y71" s="132">
        <f t="shared" si="23"/>
        <v>0.55000000000000004</v>
      </c>
      <c r="Z71" s="62">
        <f t="shared" si="24"/>
        <v>0.3</v>
      </c>
    </row>
    <row r="72" spans="1:26" s="8" customFormat="1" ht="16.95" customHeight="1" x14ac:dyDescent="0.3">
      <c r="A72" s="152">
        <f t="shared" si="16"/>
        <v>72</v>
      </c>
      <c r="B72" s="7">
        <f t="shared" si="20"/>
        <v>15</v>
      </c>
      <c r="C72" s="88">
        <v>57</v>
      </c>
      <c r="D72" s="54" t="s">
        <v>56</v>
      </c>
      <c r="E72" s="37" t="s">
        <v>391</v>
      </c>
      <c r="F72" s="37" t="s">
        <v>392</v>
      </c>
      <c r="G72" s="37" t="s">
        <v>393</v>
      </c>
      <c r="H72" s="37" t="s">
        <v>19</v>
      </c>
      <c r="I72" s="37" t="s">
        <v>427</v>
      </c>
      <c r="J72" s="37" t="s">
        <v>42</v>
      </c>
      <c r="K72" s="37" t="s">
        <v>38</v>
      </c>
      <c r="L72" s="40">
        <v>2993</v>
      </c>
      <c r="M72" s="41">
        <v>60524</v>
      </c>
      <c r="N72" s="105">
        <f>Y72</f>
        <v>0.55000000000000004</v>
      </c>
      <c r="O72" s="39">
        <v>3440000</v>
      </c>
      <c r="P72" s="68"/>
      <c r="Q72" s="68"/>
      <c r="R72" s="84">
        <f t="shared" si="18"/>
        <v>3440000</v>
      </c>
      <c r="S72" s="51">
        <f t="shared" si="21"/>
        <v>2580000</v>
      </c>
      <c r="T72" s="37">
        <v>100</v>
      </c>
      <c r="U72" s="29">
        <v>0.25</v>
      </c>
      <c r="V72" s="74">
        <v>0</v>
      </c>
      <c r="W72" s="73">
        <f>ROUNDUP((R72*U72),0)</f>
        <v>860000</v>
      </c>
      <c r="X72" s="153">
        <f t="shared" si="22"/>
        <v>860000</v>
      </c>
      <c r="Y72" s="132">
        <f t="shared" si="23"/>
        <v>0.55000000000000004</v>
      </c>
      <c r="Z72" s="62">
        <f t="shared" si="24"/>
        <v>0.25</v>
      </c>
    </row>
    <row r="73" spans="1:26" s="8" customFormat="1" ht="16.95" customHeight="1" x14ac:dyDescent="0.3">
      <c r="A73" s="152">
        <f t="shared" ref="A73:A104" si="25">B73+C73</f>
        <v>71</v>
      </c>
      <c r="B73" s="7">
        <f t="shared" si="20"/>
        <v>27</v>
      </c>
      <c r="C73" s="88">
        <v>44</v>
      </c>
      <c r="D73" s="54" t="s">
        <v>56</v>
      </c>
      <c r="E73" s="37" t="s">
        <v>27</v>
      </c>
      <c r="F73" s="37" t="s">
        <v>61</v>
      </c>
      <c r="G73" s="37" t="s">
        <v>62</v>
      </c>
      <c r="H73" s="37" t="s">
        <v>12</v>
      </c>
      <c r="I73" s="37" t="s">
        <v>408</v>
      </c>
      <c r="J73" s="37" t="s">
        <v>42</v>
      </c>
      <c r="K73" s="37" t="s">
        <v>13</v>
      </c>
      <c r="L73" s="38">
        <v>2387</v>
      </c>
      <c r="M73" s="39">
        <v>49760</v>
      </c>
      <c r="N73" s="105">
        <f>Y73</f>
        <v>0.33</v>
      </c>
      <c r="O73" s="39">
        <v>1299701</v>
      </c>
      <c r="P73" s="68"/>
      <c r="Q73" s="68"/>
      <c r="R73" s="84">
        <f t="shared" si="18"/>
        <v>1299701</v>
      </c>
      <c r="S73" s="51">
        <f t="shared" si="21"/>
        <v>649850</v>
      </c>
      <c r="T73" s="37">
        <v>180</v>
      </c>
      <c r="U73" s="29">
        <v>0.5</v>
      </c>
      <c r="V73" s="74">
        <v>0</v>
      </c>
      <c r="W73" s="73">
        <f>ROUNDUP((R73*U73),0)</f>
        <v>649851</v>
      </c>
      <c r="X73" s="153">
        <f t="shared" si="22"/>
        <v>649851</v>
      </c>
      <c r="Y73" s="132">
        <f t="shared" si="23"/>
        <v>0.33</v>
      </c>
      <c r="Z73" s="62">
        <f t="shared" si="24"/>
        <v>0.5</v>
      </c>
    </row>
    <row r="74" spans="1:26" s="8" customFormat="1" ht="16.95" customHeight="1" x14ac:dyDescent="0.3">
      <c r="A74" s="152">
        <f t="shared" si="25"/>
        <v>70.5</v>
      </c>
      <c r="B74" s="7">
        <f t="shared" si="20"/>
        <v>10.5</v>
      </c>
      <c r="C74" s="88">
        <v>60</v>
      </c>
      <c r="D74" s="54" t="s">
        <v>68</v>
      </c>
      <c r="E74" s="37" t="s">
        <v>510</v>
      </c>
      <c r="F74" s="37" t="s">
        <v>289</v>
      </c>
      <c r="G74" s="37" t="s">
        <v>70</v>
      </c>
      <c r="H74" s="37" t="s">
        <v>16</v>
      </c>
      <c r="I74" s="37" t="s">
        <v>411</v>
      </c>
      <c r="J74" s="37" t="s">
        <v>75</v>
      </c>
      <c r="K74" s="37" t="s">
        <v>17</v>
      </c>
      <c r="L74" s="40">
        <v>3644</v>
      </c>
      <c r="M74" s="42">
        <v>58090</v>
      </c>
      <c r="N74" s="317" t="s">
        <v>456</v>
      </c>
      <c r="O74" s="39">
        <v>43894</v>
      </c>
      <c r="P74" s="68"/>
      <c r="Q74" s="68">
        <v>21630</v>
      </c>
      <c r="R74" s="84">
        <f t="shared" si="18"/>
        <v>22264</v>
      </c>
      <c r="S74" s="51">
        <f t="shared" si="21"/>
        <v>35146</v>
      </c>
      <c r="T74" s="37">
        <v>70</v>
      </c>
      <c r="U74" s="29">
        <v>0.15</v>
      </c>
      <c r="V74" s="74">
        <v>5408</v>
      </c>
      <c r="W74" s="73">
        <f>ROUNDUP((R74*U74),0)</f>
        <v>3340</v>
      </c>
      <c r="X74" s="153">
        <f t="shared" si="22"/>
        <v>8748</v>
      </c>
      <c r="Y74" s="132">
        <f t="shared" si="23"/>
        <v>0.55000000000000004</v>
      </c>
      <c r="Z74" s="62">
        <f t="shared" si="24"/>
        <v>0.15</v>
      </c>
    </row>
    <row r="75" spans="1:26" s="8" customFormat="1" ht="16.95" customHeight="1" x14ac:dyDescent="0.3">
      <c r="A75" s="152">
        <f t="shared" si="25"/>
        <v>70.25</v>
      </c>
      <c r="B75" s="7">
        <f t="shared" si="20"/>
        <v>29.25</v>
      </c>
      <c r="C75" s="88">
        <v>41</v>
      </c>
      <c r="D75" s="54" t="s">
        <v>56</v>
      </c>
      <c r="E75" s="37" t="s">
        <v>479</v>
      </c>
      <c r="F75" s="37" t="s">
        <v>253</v>
      </c>
      <c r="G75" s="37" t="s">
        <v>254</v>
      </c>
      <c r="H75" s="37" t="s">
        <v>19</v>
      </c>
      <c r="I75" s="37" t="s">
        <v>53</v>
      </c>
      <c r="J75" s="37" t="s">
        <v>20</v>
      </c>
      <c r="K75" s="37" t="s">
        <v>38</v>
      </c>
      <c r="L75" s="40">
        <v>577309</v>
      </c>
      <c r="M75" s="42">
        <v>45318</v>
      </c>
      <c r="N75" s="105">
        <f>Y75</f>
        <v>0.55000000000000004</v>
      </c>
      <c r="O75" s="39">
        <v>6396368</v>
      </c>
      <c r="P75" s="68"/>
      <c r="Q75" s="68"/>
      <c r="R75" s="84">
        <f t="shared" si="18"/>
        <v>6396368</v>
      </c>
      <c r="S75" s="51">
        <f t="shared" si="21"/>
        <v>4796368</v>
      </c>
      <c r="T75" s="37">
        <v>195</v>
      </c>
      <c r="U75" s="29">
        <v>0.55000000000000004</v>
      </c>
      <c r="V75" s="74">
        <v>0</v>
      </c>
      <c r="W75" s="73">
        <v>1600000</v>
      </c>
      <c r="X75" s="153">
        <f t="shared" si="22"/>
        <v>1600000</v>
      </c>
      <c r="Y75" s="132">
        <f t="shared" si="23"/>
        <v>0.55000000000000004</v>
      </c>
      <c r="Z75" s="62">
        <f t="shared" si="24"/>
        <v>0.55000000000000004</v>
      </c>
    </row>
    <row r="76" spans="1:26" s="8" customFormat="1" ht="16.95" customHeight="1" x14ac:dyDescent="0.3">
      <c r="A76" s="152">
        <f t="shared" si="25"/>
        <v>70</v>
      </c>
      <c r="B76" s="7">
        <f t="shared" si="20"/>
        <v>15</v>
      </c>
      <c r="C76" s="88">
        <v>55</v>
      </c>
      <c r="D76" s="54" t="s">
        <v>68</v>
      </c>
      <c r="E76" s="37" t="s">
        <v>512</v>
      </c>
      <c r="F76" s="37" t="s">
        <v>332</v>
      </c>
      <c r="G76" s="37" t="s">
        <v>70</v>
      </c>
      <c r="H76" s="37" t="s">
        <v>12</v>
      </c>
      <c r="I76" s="37" t="s">
        <v>426</v>
      </c>
      <c r="J76" s="37" t="s">
        <v>42</v>
      </c>
      <c r="K76" s="37" t="s">
        <v>60</v>
      </c>
      <c r="L76" s="40">
        <v>2262</v>
      </c>
      <c r="M76" s="41">
        <v>56406</v>
      </c>
      <c r="N76" s="317" t="s">
        <v>456</v>
      </c>
      <c r="O76" s="39">
        <v>84000</v>
      </c>
      <c r="P76" s="68"/>
      <c r="Q76" s="68">
        <v>84000</v>
      </c>
      <c r="R76" s="84">
        <f t="shared" si="18"/>
        <v>0</v>
      </c>
      <c r="S76" s="51">
        <f t="shared" si="21"/>
        <v>63000</v>
      </c>
      <c r="T76" s="37">
        <v>100</v>
      </c>
      <c r="U76" s="29">
        <v>0.25</v>
      </c>
      <c r="V76" s="74">
        <v>21000</v>
      </c>
      <c r="W76" s="73">
        <f t="shared" ref="W76:W85" si="26">ROUNDUP((R76*U76),0)</f>
        <v>0</v>
      </c>
      <c r="X76" s="153">
        <f t="shared" si="22"/>
        <v>21000</v>
      </c>
      <c r="Y76" s="132">
        <f t="shared" si="23"/>
        <v>0.55000000000000004</v>
      </c>
      <c r="Z76" s="62">
        <f t="shared" si="24"/>
        <v>0.25</v>
      </c>
    </row>
    <row r="77" spans="1:26" s="8" customFormat="1" ht="16.95" customHeight="1" x14ac:dyDescent="0.3">
      <c r="A77" s="152">
        <f t="shared" si="25"/>
        <v>69.75</v>
      </c>
      <c r="B77" s="7">
        <f t="shared" si="20"/>
        <v>24.75</v>
      </c>
      <c r="C77" s="88">
        <v>45</v>
      </c>
      <c r="D77" s="54" t="s">
        <v>68</v>
      </c>
      <c r="E77" s="37" t="s">
        <v>499</v>
      </c>
      <c r="F77" s="37" t="s">
        <v>77</v>
      </c>
      <c r="G77" s="37" t="s">
        <v>598</v>
      </c>
      <c r="H77" s="37" t="s">
        <v>21</v>
      </c>
      <c r="I77" s="37" t="s">
        <v>406</v>
      </c>
      <c r="J77" s="37" t="s">
        <v>78</v>
      </c>
      <c r="K77" s="37" t="s">
        <v>60</v>
      </c>
      <c r="L77" s="38">
        <v>7819</v>
      </c>
      <c r="M77" s="39">
        <v>50053</v>
      </c>
      <c r="N77" s="317" t="s">
        <v>456</v>
      </c>
      <c r="O77" s="39">
        <v>108884</v>
      </c>
      <c r="P77" s="68"/>
      <c r="Q77" s="68">
        <v>108884</v>
      </c>
      <c r="R77" s="84">
        <f t="shared" si="18"/>
        <v>0</v>
      </c>
      <c r="S77" s="51">
        <f t="shared" si="21"/>
        <v>0</v>
      </c>
      <c r="T77" s="37">
        <v>165</v>
      </c>
      <c r="U77" s="29">
        <v>0.45</v>
      </c>
      <c r="V77" s="74">
        <v>108884</v>
      </c>
      <c r="W77" s="73">
        <f t="shared" si="26"/>
        <v>0</v>
      </c>
      <c r="X77" s="153">
        <f t="shared" si="22"/>
        <v>108884</v>
      </c>
      <c r="Y77" s="132">
        <f t="shared" si="23"/>
        <v>0.33</v>
      </c>
      <c r="Z77" s="62">
        <f t="shared" si="24"/>
        <v>0.45</v>
      </c>
    </row>
    <row r="78" spans="1:26" s="8" customFormat="1" ht="16.95" customHeight="1" x14ac:dyDescent="0.3">
      <c r="A78" s="152">
        <f t="shared" si="25"/>
        <v>69</v>
      </c>
      <c r="B78" s="7">
        <f t="shared" si="20"/>
        <v>9</v>
      </c>
      <c r="C78" s="88">
        <v>60</v>
      </c>
      <c r="D78" s="54" t="s">
        <v>68</v>
      </c>
      <c r="E78" s="37" t="s">
        <v>477</v>
      </c>
      <c r="F78" s="37" t="s">
        <v>104</v>
      </c>
      <c r="G78" s="37" t="s">
        <v>70</v>
      </c>
      <c r="H78" s="37" t="s">
        <v>15</v>
      </c>
      <c r="I78" s="37" t="s">
        <v>418</v>
      </c>
      <c r="J78" s="37" t="s">
        <v>41</v>
      </c>
      <c r="K78" s="37" t="s">
        <v>39</v>
      </c>
      <c r="L78" s="38">
        <v>16727</v>
      </c>
      <c r="M78" s="39">
        <v>59296</v>
      </c>
      <c r="N78" s="317" t="s">
        <v>456</v>
      </c>
      <c r="O78" s="81">
        <v>925010</v>
      </c>
      <c r="P78" s="68"/>
      <c r="Q78" s="68">
        <v>500000</v>
      </c>
      <c r="R78" s="84">
        <f t="shared" si="18"/>
        <v>425010</v>
      </c>
      <c r="S78" s="51">
        <f t="shared" si="21"/>
        <v>757509</v>
      </c>
      <c r="T78" s="37">
        <v>60</v>
      </c>
      <c r="U78" s="29">
        <v>0.1</v>
      </c>
      <c r="V78" s="74">
        <v>125000</v>
      </c>
      <c r="W78" s="73">
        <f t="shared" si="26"/>
        <v>42501</v>
      </c>
      <c r="X78" s="153">
        <f t="shared" si="22"/>
        <v>167501</v>
      </c>
      <c r="Y78" s="132">
        <f t="shared" si="23"/>
        <v>0.55000000000000004</v>
      </c>
      <c r="Z78" s="62">
        <f t="shared" si="24"/>
        <v>0.1</v>
      </c>
    </row>
    <row r="79" spans="1:26" s="8" customFormat="1" ht="16.95" customHeight="1" x14ac:dyDescent="0.3">
      <c r="A79" s="152">
        <f t="shared" si="25"/>
        <v>68.75</v>
      </c>
      <c r="B79" s="7">
        <f t="shared" si="20"/>
        <v>21.75</v>
      </c>
      <c r="C79" s="88">
        <v>47</v>
      </c>
      <c r="D79" s="54" t="s">
        <v>56</v>
      </c>
      <c r="E79" s="37" t="s">
        <v>179</v>
      </c>
      <c r="F79" s="37" t="s">
        <v>180</v>
      </c>
      <c r="G79" s="37" t="s">
        <v>181</v>
      </c>
      <c r="H79" s="37" t="s">
        <v>12</v>
      </c>
      <c r="I79" s="37" t="s">
        <v>408</v>
      </c>
      <c r="J79" s="37" t="s">
        <v>144</v>
      </c>
      <c r="K79" s="37" t="s">
        <v>13</v>
      </c>
      <c r="L79" s="40">
        <v>1054</v>
      </c>
      <c r="M79" s="42">
        <v>47679</v>
      </c>
      <c r="N79" s="105">
        <f>Y79</f>
        <v>0.33</v>
      </c>
      <c r="O79" s="39">
        <v>604199</v>
      </c>
      <c r="P79" s="68"/>
      <c r="Q79" s="68"/>
      <c r="R79" s="84">
        <f t="shared" si="18"/>
        <v>604199</v>
      </c>
      <c r="S79" s="51">
        <f t="shared" si="21"/>
        <v>362519</v>
      </c>
      <c r="T79" s="37">
        <v>145</v>
      </c>
      <c r="U79" s="29">
        <v>0.4</v>
      </c>
      <c r="V79" s="74">
        <v>0</v>
      </c>
      <c r="W79" s="73">
        <f t="shared" si="26"/>
        <v>241680</v>
      </c>
      <c r="X79" s="153">
        <f t="shared" si="22"/>
        <v>241680</v>
      </c>
      <c r="Y79" s="132">
        <f t="shared" si="23"/>
        <v>0.33</v>
      </c>
      <c r="Z79" s="62">
        <f t="shared" si="24"/>
        <v>0.4</v>
      </c>
    </row>
    <row r="80" spans="1:26" s="8" customFormat="1" ht="16.95" customHeight="1" x14ac:dyDescent="0.3">
      <c r="A80" s="152">
        <f t="shared" si="25"/>
        <v>68</v>
      </c>
      <c r="B80" s="7">
        <f t="shared" si="20"/>
        <v>21</v>
      </c>
      <c r="C80" s="88">
        <v>47</v>
      </c>
      <c r="D80" s="54" t="s">
        <v>56</v>
      </c>
      <c r="E80" s="37" t="s">
        <v>354</v>
      </c>
      <c r="F80" s="37" t="s">
        <v>355</v>
      </c>
      <c r="G80" s="37" t="s">
        <v>356</v>
      </c>
      <c r="H80" s="37" t="s">
        <v>12</v>
      </c>
      <c r="I80" s="37" t="s">
        <v>432</v>
      </c>
      <c r="J80" s="37" t="s">
        <v>25</v>
      </c>
      <c r="K80" s="37" t="s">
        <v>13</v>
      </c>
      <c r="L80" s="40">
        <v>512</v>
      </c>
      <c r="M80" s="41">
        <v>51449</v>
      </c>
      <c r="N80" s="105">
        <f>Y80</f>
        <v>0.33</v>
      </c>
      <c r="O80" s="39">
        <v>965614</v>
      </c>
      <c r="P80" s="68"/>
      <c r="Q80" s="68"/>
      <c r="R80" s="84">
        <f t="shared" si="18"/>
        <v>965614</v>
      </c>
      <c r="S80" s="51">
        <f t="shared" si="21"/>
        <v>579368</v>
      </c>
      <c r="T80" s="37">
        <v>140</v>
      </c>
      <c r="U80" s="29">
        <v>0.4</v>
      </c>
      <c r="V80" s="74">
        <v>0</v>
      </c>
      <c r="W80" s="73">
        <f t="shared" si="26"/>
        <v>386246</v>
      </c>
      <c r="X80" s="153">
        <f t="shared" si="22"/>
        <v>386246</v>
      </c>
      <c r="Y80" s="132">
        <f t="shared" si="23"/>
        <v>0.33</v>
      </c>
      <c r="Z80" s="62">
        <f t="shared" si="24"/>
        <v>0.4</v>
      </c>
    </row>
    <row r="81" spans="1:26" s="8" customFormat="1" ht="16.95" customHeight="1" x14ac:dyDescent="0.3">
      <c r="A81" s="152">
        <f t="shared" si="25"/>
        <v>68</v>
      </c>
      <c r="B81" s="7">
        <f t="shared" si="20"/>
        <v>18</v>
      </c>
      <c r="C81" s="88">
        <v>50</v>
      </c>
      <c r="D81" s="54" t="s">
        <v>68</v>
      </c>
      <c r="E81" s="37" t="s">
        <v>516</v>
      </c>
      <c r="F81" s="37" t="s">
        <v>369</v>
      </c>
      <c r="G81" s="37" t="s">
        <v>70</v>
      </c>
      <c r="H81" s="37" t="s">
        <v>16</v>
      </c>
      <c r="I81" s="37" t="s">
        <v>439</v>
      </c>
      <c r="J81" s="37" t="s">
        <v>41</v>
      </c>
      <c r="K81" s="37" t="s">
        <v>17</v>
      </c>
      <c r="L81" s="40">
        <v>6422</v>
      </c>
      <c r="M81" s="41">
        <v>48281</v>
      </c>
      <c r="N81" s="317" t="s">
        <v>456</v>
      </c>
      <c r="O81" s="39">
        <v>267025</v>
      </c>
      <c r="P81" s="68"/>
      <c r="Q81" s="68">
        <v>267025</v>
      </c>
      <c r="R81" s="84">
        <f t="shared" si="18"/>
        <v>0</v>
      </c>
      <c r="S81" s="51">
        <f t="shared" si="21"/>
        <v>133512</v>
      </c>
      <c r="T81" s="37">
        <v>120</v>
      </c>
      <c r="U81" s="29">
        <v>0.3</v>
      </c>
      <c r="V81" s="74">
        <v>133513</v>
      </c>
      <c r="W81" s="73">
        <f t="shared" si="26"/>
        <v>0</v>
      </c>
      <c r="X81" s="153">
        <f t="shared" si="22"/>
        <v>133513</v>
      </c>
      <c r="Y81" s="132">
        <f t="shared" si="23"/>
        <v>0.33</v>
      </c>
      <c r="Z81" s="62">
        <f t="shared" si="24"/>
        <v>0.3</v>
      </c>
    </row>
    <row r="82" spans="1:26" s="8" customFormat="1" ht="16.95" customHeight="1" x14ac:dyDescent="0.3">
      <c r="A82" s="152">
        <f t="shared" si="25"/>
        <v>67.5</v>
      </c>
      <c r="B82" s="7">
        <f t="shared" si="20"/>
        <v>25.5</v>
      </c>
      <c r="C82" s="88">
        <v>42</v>
      </c>
      <c r="D82" s="54" t="s">
        <v>56</v>
      </c>
      <c r="E82" s="37" t="s">
        <v>245</v>
      </c>
      <c r="F82" s="37" t="s">
        <v>246</v>
      </c>
      <c r="G82" s="37" t="s">
        <v>247</v>
      </c>
      <c r="H82" s="37" t="s">
        <v>21</v>
      </c>
      <c r="I82" s="37" t="s">
        <v>434</v>
      </c>
      <c r="J82" s="37" t="s">
        <v>119</v>
      </c>
      <c r="K82" s="37" t="s">
        <v>60</v>
      </c>
      <c r="L82" s="40">
        <v>4305</v>
      </c>
      <c r="M82" s="42">
        <v>47835</v>
      </c>
      <c r="N82" s="105">
        <f t="shared" ref="N82:N88" si="27">Y82</f>
        <v>0.33</v>
      </c>
      <c r="O82" s="39">
        <v>536524</v>
      </c>
      <c r="P82" s="68"/>
      <c r="Q82" s="68"/>
      <c r="R82" s="84">
        <f t="shared" si="18"/>
        <v>536524</v>
      </c>
      <c r="S82" s="51">
        <f t="shared" si="21"/>
        <v>268262</v>
      </c>
      <c r="T82" s="37">
        <v>170</v>
      </c>
      <c r="U82" s="29">
        <v>0.5</v>
      </c>
      <c r="V82" s="74">
        <v>0</v>
      </c>
      <c r="W82" s="73">
        <f t="shared" si="26"/>
        <v>268262</v>
      </c>
      <c r="X82" s="153">
        <f t="shared" si="22"/>
        <v>268262</v>
      </c>
      <c r="Y82" s="132">
        <f t="shared" si="23"/>
        <v>0.33</v>
      </c>
      <c r="Z82" s="62">
        <f t="shared" si="24"/>
        <v>0.5</v>
      </c>
    </row>
    <row r="83" spans="1:26" s="8" customFormat="1" ht="16.95" customHeight="1" x14ac:dyDescent="0.3">
      <c r="A83" s="152">
        <f t="shared" si="25"/>
        <v>67</v>
      </c>
      <c r="B83" s="7">
        <f t="shared" si="20"/>
        <v>21</v>
      </c>
      <c r="C83" s="88">
        <v>46</v>
      </c>
      <c r="D83" s="54" t="s">
        <v>56</v>
      </c>
      <c r="E83" s="37" t="s">
        <v>221</v>
      </c>
      <c r="F83" s="37" t="s">
        <v>222</v>
      </c>
      <c r="G83" s="37" t="s">
        <v>223</v>
      </c>
      <c r="H83" s="37" t="s">
        <v>15</v>
      </c>
      <c r="I83" s="37" t="s">
        <v>422</v>
      </c>
      <c r="J83" s="37" t="s">
        <v>43</v>
      </c>
      <c r="K83" s="37" t="s">
        <v>39</v>
      </c>
      <c r="L83" s="40">
        <v>638</v>
      </c>
      <c r="M83" s="42">
        <v>53750</v>
      </c>
      <c r="N83" s="105">
        <f t="shared" si="27"/>
        <v>0.55000000000000004</v>
      </c>
      <c r="O83" s="39">
        <v>2639925</v>
      </c>
      <c r="P83" s="68"/>
      <c r="Q83" s="68"/>
      <c r="R83" s="84">
        <f t="shared" ref="R83:R114" si="28">O83-P83-Q83</f>
        <v>2639925</v>
      </c>
      <c r="S83" s="51">
        <f t="shared" si="21"/>
        <v>1583955</v>
      </c>
      <c r="T83" s="37">
        <v>140</v>
      </c>
      <c r="U83" s="29">
        <v>0.4</v>
      </c>
      <c r="V83" s="74">
        <v>0</v>
      </c>
      <c r="W83" s="73">
        <f t="shared" si="26"/>
        <v>1055970</v>
      </c>
      <c r="X83" s="153">
        <f t="shared" si="22"/>
        <v>1055970</v>
      </c>
      <c r="Y83" s="132">
        <f t="shared" si="23"/>
        <v>0.55000000000000004</v>
      </c>
      <c r="Z83" s="62">
        <f t="shared" si="24"/>
        <v>0.4</v>
      </c>
    </row>
    <row r="84" spans="1:26" s="8" customFormat="1" ht="16.95" customHeight="1" x14ac:dyDescent="0.3">
      <c r="A84" s="152">
        <f t="shared" si="25"/>
        <v>66.75</v>
      </c>
      <c r="B84" s="7">
        <f t="shared" si="20"/>
        <v>42.75</v>
      </c>
      <c r="C84" s="88">
        <v>24</v>
      </c>
      <c r="D84" s="54" t="s">
        <v>56</v>
      </c>
      <c r="E84" s="37" t="s">
        <v>182</v>
      </c>
      <c r="F84" s="37" t="s">
        <v>184</v>
      </c>
      <c r="G84" s="37" t="s">
        <v>185</v>
      </c>
      <c r="H84" s="37" t="s">
        <v>21</v>
      </c>
      <c r="I84" s="37" t="s">
        <v>429</v>
      </c>
      <c r="J84" s="37" t="s">
        <v>23</v>
      </c>
      <c r="K84" s="37" t="s">
        <v>60</v>
      </c>
      <c r="L84" s="40">
        <v>334</v>
      </c>
      <c r="M84" s="42">
        <v>30833</v>
      </c>
      <c r="N84" s="105">
        <f t="shared" si="27"/>
        <v>0.33</v>
      </c>
      <c r="O84" s="39">
        <v>564512</v>
      </c>
      <c r="P84" s="68"/>
      <c r="Q84" s="68"/>
      <c r="R84" s="84">
        <f t="shared" si="28"/>
        <v>564512</v>
      </c>
      <c r="S84" s="51">
        <f t="shared" si="21"/>
        <v>197579</v>
      </c>
      <c r="T84" s="37">
        <v>285</v>
      </c>
      <c r="U84" s="29">
        <v>0.65</v>
      </c>
      <c r="V84" s="74">
        <v>0</v>
      </c>
      <c r="W84" s="73">
        <f t="shared" si="26"/>
        <v>366933</v>
      </c>
      <c r="X84" s="153">
        <f t="shared" si="22"/>
        <v>366933</v>
      </c>
      <c r="Y84" s="132">
        <f t="shared" si="23"/>
        <v>0.33</v>
      </c>
      <c r="Z84" s="62">
        <f t="shared" si="24"/>
        <v>0.65</v>
      </c>
    </row>
    <row r="85" spans="1:26" s="8" customFormat="1" ht="16.95" customHeight="1" x14ac:dyDescent="0.3">
      <c r="A85" s="152">
        <f t="shared" si="25"/>
        <v>66.75</v>
      </c>
      <c r="B85" s="7">
        <f t="shared" si="20"/>
        <v>42.75</v>
      </c>
      <c r="C85" s="88">
        <v>24</v>
      </c>
      <c r="D85" s="54" t="s">
        <v>56</v>
      </c>
      <c r="E85" s="37" t="s">
        <v>182</v>
      </c>
      <c r="F85" s="37" t="s">
        <v>186</v>
      </c>
      <c r="G85" s="37" t="s">
        <v>187</v>
      </c>
      <c r="H85" s="37" t="s">
        <v>21</v>
      </c>
      <c r="I85" s="37" t="s">
        <v>429</v>
      </c>
      <c r="J85" s="37" t="s">
        <v>23</v>
      </c>
      <c r="K85" s="37" t="s">
        <v>60</v>
      </c>
      <c r="L85" s="40">
        <v>334</v>
      </c>
      <c r="M85" s="42">
        <v>30833</v>
      </c>
      <c r="N85" s="105">
        <f t="shared" si="27"/>
        <v>0.33</v>
      </c>
      <c r="O85" s="39">
        <v>564513</v>
      </c>
      <c r="P85" s="68"/>
      <c r="Q85" s="68"/>
      <c r="R85" s="84">
        <f t="shared" si="28"/>
        <v>564513</v>
      </c>
      <c r="S85" s="51">
        <f t="shared" si="21"/>
        <v>197579</v>
      </c>
      <c r="T85" s="37">
        <v>285</v>
      </c>
      <c r="U85" s="29">
        <v>0.65</v>
      </c>
      <c r="V85" s="74">
        <v>0</v>
      </c>
      <c r="W85" s="73">
        <f t="shared" si="26"/>
        <v>366934</v>
      </c>
      <c r="X85" s="153">
        <f t="shared" si="22"/>
        <v>366934</v>
      </c>
      <c r="Y85" s="132">
        <f t="shared" si="23"/>
        <v>0.33</v>
      </c>
      <c r="Z85" s="62">
        <f t="shared" si="24"/>
        <v>0.65</v>
      </c>
    </row>
    <row r="86" spans="1:26" s="8" customFormat="1" ht="16.95" customHeight="1" x14ac:dyDescent="0.3">
      <c r="A86" s="152">
        <f t="shared" si="25"/>
        <v>66.75</v>
      </c>
      <c r="B86" s="7">
        <f t="shared" si="20"/>
        <v>33.75</v>
      </c>
      <c r="C86" s="88">
        <v>33</v>
      </c>
      <c r="D86" s="54" t="s">
        <v>56</v>
      </c>
      <c r="E86" s="37" t="s">
        <v>525</v>
      </c>
      <c r="F86" s="37" t="s">
        <v>196</v>
      </c>
      <c r="G86" s="37" t="s">
        <v>197</v>
      </c>
      <c r="H86" s="37" t="s">
        <v>12</v>
      </c>
      <c r="I86" s="37" t="s">
        <v>407</v>
      </c>
      <c r="J86" s="37" t="s">
        <v>25</v>
      </c>
      <c r="K86" s="37" t="s">
        <v>60</v>
      </c>
      <c r="L86" s="38">
        <v>419</v>
      </c>
      <c r="M86" s="42">
        <v>53438</v>
      </c>
      <c r="N86" s="105">
        <f t="shared" si="27"/>
        <v>0.33</v>
      </c>
      <c r="O86" s="39">
        <v>468013</v>
      </c>
      <c r="P86" s="68"/>
      <c r="Q86" s="68"/>
      <c r="R86" s="84">
        <f t="shared" si="28"/>
        <v>468013</v>
      </c>
      <c r="S86" s="51">
        <f t="shared" si="21"/>
        <v>315262</v>
      </c>
      <c r="T86" s="37">
        <v>225</v>
      </c>
      <c r="U86" s="29">
        <v>0.6</v>
      </c>
      <c r="V86" s="74">
        <v>0</v>
      </c>
      <c r="W86" s="73">
        <v>152751</v>
      </c>
      <c r="X86" s="153">
        <f t="shared" si="22"/>
        <v>152751</v>
      </c>
      <c r="Y86" s="132">
        <f t="shared" si="23"/>
        <v>0.33</v>
      </c>
      <c r="Z86" s="62">
        <f t="shared" si="24"/>
        <v>0.6</v>
      </c>
    </row>
    <row r="87" spans="1:26" s="8" customFormat="1" ht="16.95" customHeight="1" x14ac:dyDescent="0.3">
      <c r="A87" s="152">
        <f t="shared" si="25"/>
        <v>66.5</v>
      </c>
      <c r="B87" s="7">
        <f t="shared" si="20"/>
        <v>13.5</v>
      </c>
      <c r="C87" s="88">
        <v>53</v>
      </c>
      <c r="D87" s="54" t="s">
        <v>56</v>
      </c>
      <c r="E87" s="37" t="s">
        <v>468</v>
      </c>
      <c r="F87" s="37" t="s">
        <v>372</v>
      </c>
      <c r="G87" s="37" t="s">
        <v>373</v>
      </c>
      <c r="H87" s="37" t="s">
        <v>12</v>
      </c>
      <c r="I87" s="37" t="s">
        <v>426</v>
      </c>
      <c r="J87" s="37" t="s">
        <v>43</v>
      </c>
      <c r="K87" s="37" t="s">
        <v>60</v>
      </c>
      <c r="L87" s="40">
        <v>40199</v>
      </c>
      <c r="M87" s="41">
        <v>53800</v>
      </c>
      <c r="N87" s="105">
        <f t="shared" si="27"/>
        <v>0.55000000000000004</v>
      </c>
      <c r="O87" s="39">
        <v>564130</v>
      </c>
      <c r="P87" s="68"/>
      <c r="Q87" s="68"/>
      <c r="R87" s="84">
        <f t="shared" si="28"/>
        <v>564130</v>
      </c>
      <c r="S87" s="51">
        <f t="shared" si="21"/>
        <v>564130</v>
      </c>
      <c r="T87" s="37">
        <v>90</v>
      </c>
      <c r="U87" s="29">
        <v>0.2</v>
      </c>
      <c r="V87" s="74">
        <v>0</v>
      </c>
      <c r="W87" s="73">
        <v>0</v>
      </c>
      <c r="X87" s="153">
        <f t="shared" si="22"/>
        <v>0</v>
      </c>
      <c r="Y87" s="132">
        <f t="shared" si="23"/>
        <v>0.55000000000000004</v>
      </c>
      <c r="Z87" s="62">
        <f t="shared" si="24"/>
        <v>0.2</v>
      </c>
    </row>
    <row r="88" spans="1:26" s="8" customFormat="1" ht="16.95" customHeight="1" x14ac:dyDescent="0.3">
      <c r="A88" s="152">
        <f t="shared" si="25"/>
        <v>66.5</v>
      </c>
      <c r="B88" s="7">
        <f t="shared" si="20"/>
        <v>4.5</v>
      </c>
      <c r="C88" s="88">
        <v>62</v>
      </c>
      <c r="D88" s="54" t="s">
        <v>63</v>
      </c>
      <c r="E88" s="37" t="s">
        <v>471</v>
      </c>
      <c r="F88" s="37" t="s">
        <v>384</v>
      </c>
      <c r="G88" s="37" t="s">
        <v>385</v>
      </c>
      <c r="H88" s="37" t="s">
        <v>19</v>
      </c>
      <c r="I88" s="93" t="s">
        <v>431</v>
      </c>
      <c r="J88" s="37" t="s">
        <v>20</v>
      </c>
      <c r="K88" s="37" t="s">
        <v>38</v>
      </c>
      <c r="L88" s="40">
        <v>32067</v>
      </c>
      <c r="M88" s="41">
        <v>66980</v>
      </c>
      <c r="N88" s="105">
        <f t="shared" si="27"/>
        <v>0.55000000000000004</v>
      </c>
      <c r="O88" s="39">
        <v>6201001</v>
      </c>
      <c r="P88" s="68">
        <v>6201001</v>
      </c>
      <c r="Q88" s="68"/>
      <c r="R88" s="84">
        <f t="shared" si="28"/>
        <v>0</v>
      </c>
      <c r="S88" s="51">
        <f t="shared" si="21"/>
        <v>3100500</v>
      </c>
      <c r="T88" s="37">
        <v>30</v>
      </c>
      <c r="U88" s="29">
        <v>0</v>
      </c>
      <c r="V88" s="74">
        <v>3100501</v>
      </c>
      <c r="W88" s="73">
        <v>0</v>
      </c>
      <c r="X88" s="153">
        <f t="shared" si="22"/>
        <v>3100501</v>
      </c>
      <c r="Y88" s="132">
        <f t="shared" si="23"/>
        <v>0.55000000000000004</v>
      </c>
      <c r="Z88" s="62">
        <f t="shared" si="24"/>
        <v>0</v>
      </c>
    </row>
    <row r="89" spans="1:26" s="8" customFormat="1" ht="16.95" customHeight="1" x14ac:dyDescent="0.3">
      <c r="A89" s="152">
        <f t="shared" si="25"/>
        <v>66.5</v>
      </c>
      <c r="B89" s="7">
        <f t="shared" si="20"/>
        <v>22.5</v>
      </c>
      <c r="C89" s="88">
        <v>44</v>
      </c>
      <c r="D89" s="54" t="s">
        <v>68</v>
      </c>
      <c r="E89" s="37" t="s">
        <v>517</v>
      </c>
      <c r="F89" s="37" t="s">
        <v>387</v>
      </c>
      <c r="G89" s="37" t="s">
        <v>70</v>
      </c>
      <c r="H89" s="37" t="s">
        <v>16</v>
      </c>
      <c r="I89" s="37" t="s">
        <v>439</v>
      </c>
      <c r="J89" s="37" t="s">
        <v>113</v>
      </c>
      <c r="K89" s="37" t="s">
        <v>17</v>
      </c>
      <c r="L89" s="40">
        <v>1824</v>
      </c>
      <c r="M89" s="41">
        <v>55179</v>
      </c>
      <c r="N89" s="317" t="s">
        <v>456</v>
      </c>
      <c r="O89" s="39">
        <v>47400</v>
      </c>
      <c r="P89" s="68"/>
      <c r="Q89" s="68">
        <v>19724</v>
      </c>
      <c r="R89" s="84">
        <f t="shared" si="28"/>
        <v>27676</v>
      </c>
      <c r="S89" s="51">
        <f t="shared" si="21"/>
        <v>37538</v>
      </c>
      <c r="T89" s="37">
        <v>150</v>
      </c>
      <c r="U89" s="29">
        <v>0.4</v>
      </c>
      <c r="V89" s="74">
        <v>9862</v>
      </c>
      <c r="W89" s="73">
        <v>0</v>
      </c>
      <c r="X89" s="153">
        <f t="shared" si="22"/>
        <v>9862</v>
      </c>
      <c r="Y89" s="132">
        <f t="shared" si="23"/>
        <v>0.55000000000000004</v>
      </c>
      <c r="Z89" s="62">
        <f t="shared" si="24"/>
        <v>0.4</v>
      </c>
    </row>
    <row r="90" spans="1:26" s="8" customFormat="1" ht="16.95" customHeight="1" x14ac:dyDescent="0.3">
      <c r="A90" s="152">
        <f t="shared" si="25"/>
        <v>66</v>
      </c>
      <c r="B90" s="7">
        <f t="shared" si="20"/>
        <v>9</v>
      </c>
      <c r="C90" s="88">
        <v>57</v>
      </c>
      <c r="D90" s="54" t="s">
        <v>56</v>
      </c>
      <c r="E90" s="37" t="s">
        <v>86</v>
      </c>
      <c r="F90" s="37" t="s">
        <v>92</v>
      </c>
      <c r="G90" s="37" t="s">
        <v>93</v>
      </c>
      <c r="H90" s="37" t="s">
        <v>12</v>
      </c>
      <c r="I90" s="37" t="s">
        <v>414</v>
      </c>
      <c r="J90" s="37" t="s">
        <v>89</v>
      </c>
      <c r="K90" s="37" t="s">
        <v>13</v>
      </c>
      <c r="L90" s="38">
        <v>4356</v>
      </c>
      <c r="M90" s="39">
        <v>72832</v>
      </c>
      <c r="N90" s="105">
        <f>Y90</f>
        <v>0.55000000000000004</v>
      </c>
      <c r="O90" s="39">
        <v>1665500</v>
      </c>
      <c r="P90" s="68"/>
      <c r="Q90" s="68"/>
      <c r="R90" s="84">
        <f t="shared" si="28"/>
        <v>1665500</v>
      </c>
      <c r="S90" s="51">
        <f t="shared" si="21"/>
        <v>1665500</v>
      </c>
      <c r="T90" s="37">
        <v>60</v>
      </c>
      <c r="U90" s="29">
        <v>0.1</v>
      </c>
      <c r="V90" s="74">
        <v>0</v>
      </c>
      <c r="W90" s="73">
        <v>0</v>
      </c>
      <c r="X90" s="153">
        <f t="shared" si="22"/>
        <v>0</v>
      </c>
      <c r="Y90" s="132">
        <f t="shared" si="23"/>
        <v>0.55000000000000004</v>
      </c>
      <c r="Z90" s="62">
        <f t="shared" si="24"/>
        <v>0.1</v>
      </c>
    </row>
    <row r="91" spans="1:26" s="8" customFormat="1" ht="16.95" customHeight="1" x14ac:dyDescent="0.3">
      <c r="A91" s="152">
        <f t="shared" si="25"/>
        <v>66</v>
      </c>
      <c r="B91" s="7">
        <f t="shared" si="20"/>
        <v>24</v>
      </c>
      <c r="C91" s="88">
        <v>42</v>
      </c>
      <c r="D91" s="54" t="s">
        <v>56</v>
      </c>
      <c r="E91" s="37" t="s">
        <v>462</v>
      </c>
      <c r="F91" s="37" t="s">
        <v>448</v>
      </c>
      <c r="G91" s="37" t="s">
        <v>449</v>
      </c>
      <c r="H91" s="37" t="s">
        <v>19</v>
      </c>
      <c r="I91" s="37" t="s">
        <v>404</v>
      </c>
      <c r="J91" s="37" t="s">
        <v>144</v>
      </c>
      <c r="K91" s="37" t="s">
        <v>38</v>
      </c>
      <c r="L91" s="38">
        <v>77240</v>
      </c>
      <c r="M91" s="39">
        <v>48238</v>
      </c>
      <c r="N91" s="105">
        <f>Y91</f>
        <v>0.55000000000000004</v>
      </c>
      <c r="O91" s="39">
        <v>5254926</v>
      </c>
      <c r="P91" s="68"/>
      <c r="Q91" s="68"/>
      <c r="R91" s="84">
        <f t="shared" si="28"/>
        <v>5254926</v>
      </c>
      <c r="S91" s="51">
        <f t="shared" si="21"/>
        <v>5254926</v>
      </c>
      <c r="T91" s="37">
        <v>160</v>
      </c>
      <c r="U91" s="29">
        <v>0.45</v>
      </c>
      <c r="V91" s="74">
        <v>0</v>
      </c>
      <c r="W91" s="73">
        <v>0</v>
      </c>
      <c r="X91" s="153">
        <f t="shared" si="22"/>
        <v>0</v>
      </c>
      <c r="Y91" s="132">
        <f t="shared" si="23"/>
        <v>0.55000000000000004</v>
      </c>
      <c r="Z91" s="62">
        <f t="shared" si="24"/>
        <v>0.45</v>
      </c>
    </row>
    <row r="92" spans="1:26" s="8" customFormat="1" ht="16.95" customHeight="1" x14ac:dyDescent="0.3">
      <c r="A92" s="152">
        <f t="shared" si="25"/>
        <v>65</v>
      </c>
      <c r="B92" s="7">
        <f t="shared" si="20"/>
        <v>0</v>
      </c>
      <c r="C92" s="88">
        <v>65</v>
      </c>
      <c r="D92" s="54" t="s">
        <v>68</v>
      </c>
      <c r="E92" s="37" t="s">
        <v>474</v>
      </c>
      <c r="F92" s="37" t="s">
        <v>286</v>
      </c>
      <c r="G92" s="37" t="s">
        <v>287</v>
      </c>
      <c r="H92" s="37" t="s">
        <v>19</v>
      </c>
      <c r="I92" s="37" t="s">
        <v>437</v>
      </c>
      <c r="J92" s="37" t="s">
        <v>43</v>
      </c>
      <c r="K92" s="37" t="s">
        <v>38</v>
      </c>
      <c r="L92" s="40">
        <v>18485</v>
      </c>
      <c r="M92" s="42">
        <v>95914</v>
      </c>
      <c r="N92" s="317" t="s">
        <v>456</v>
      </c>
      <c r="O92" s="39">
        <v>1496250</v>
      </c>
      <c r="P92" s="68"/>
      <c r="Q92" s="68">
        <v>0</v>
      </c>
      <c r="R92" s="84">
        <f t="shared" si="28"/>
        <v>1496250</v>
      </c>
      <c r="S92" s="51">
        <f t="shared" si="21"/>
        <v>1496250</v>
      </c>
      <c r="T92" s="37">
        <v>0</v>
      </c>
      <c r="U92" s="29">
        <v>0</v>
      </c>
      <c r="V92" s="74">
        <v>0</v>
      </c>
      <c r="W92" s="73">
        <v>0</v>
      </c>
      <c r="X92" s="153">
        <f t="shared" si="22"/>
        <v>0</v>
      </c>
      <c r="Y92" s="132">
        <f t="shared" si="23"/>
        <v>0.55000000000000004</v>
      </c>
      <c r="Z92" s="62">
        <f t="shared" si="24"/>
        <v>0</v>
      </c>
    </row>
    <row r="93" spans="1:26" s="8" customFormat="1" ht="16.95" customHeight="1" x14ac:dyDescent="0.3">
      <c r="A93" s="152">
        <f t="shared" si="25"/>
        <v>64.75</v>
      </c>
      <c r="B93" s="7">
        <f t="shared" si="20"/>
        <v>9.75</v>
      </c>
      <c r="C93" s="88">
        <v>55</v>
      </c>
      <c r="D93" s="54" t="s">
        <v>68</v>
      </c>
      <c r="E93" s="37" t="s">
        <v>475</v>
      </c>
      <c r="F93" s="37" t="s">
        <v>148</v>
      </c>
      <c r="G93" s="37" t="s">
        <v>70</v>
      </c>
      <c r="H93" s="37" t="s">
        <v>19</v>
      </c>
      <c r="I93" s="37" t="s">
        <v>53</v>
      </c>
      <c r="J93" s="37" t="s">
        <v>89</v>
      </c>
      <c r="K93" s="37" t="s">
        <v>38</v>
      </c>
      <c r="L93" s="40">
        <v>18134</v>
      </c>
      <c r="M93" s="42">
        <v>63419</v>
      </c>
      <c r="N93" s="317" t="s">
        <v>456</v>
      </c>
      <c r="O93" s="39">
        <v>63000</v>
      </c>
      <c r="P93" s="68"/>
      <c r="Q93" s="68">
        <v>63000</v>
      </c>
      <c r="R93" s="84">
        <f t="shared" si="28"/>
        <v>0</v>
      </c>
      <c r="S93" s="51">
        <f t="shared" si="21"/>
        <v>31500</v>
      </c>
      <c r="T93" s="37">
        <v>65</v>
      </c>
      <c r="U93" s="29">
        <v>0.1</v>
      </c>
      <c r="V93" s="74">
        <v>31500</v>
      </c>
      <c r="W93" s="73">
        <v>0</v>
      </c>
      <c r="X93" s="153">
        <f t="shared" si="22"/>
        <v>31500</v>
      </c>
      <c r="Y93" s="132">
        <f t="shared" si="23"/>
        <v>0.55000000000000004</v>
      </c>
      <c r="Z93" s="62">
        <f t="shared" si="24"/>
        <v>0.1</v>
      </c>
    </row>
    <row r="94" spans="1:26" s="8" customFormat="1" ht="16.95" customHeight="1" x14ac:dyDescent="0.3">
      <c r="A94" s="152">
        <f t="shared" si="25"/>
        <v>64</v>
      </c>
      <c r="B94" s="7">
        <f t="shared" si="20"/>
        <v>30</v>
      </c>
      <c r="C94" s="88">
        <v>34</v>
      </c>
      <c r="D94" s="54" t="s">
        <v>56</v>
      </c>
      <c r="E94" s="37" t="s">
        <v>175</v>
      </c>
      <c r="F94" s="37" t="s">
        <v>176</v>
      </c>
      <c r="G94" s="37" t="s">
        <v>177</v>
      </c>
      <c r="H94" s="37" t="s">
        <v>12</v>
      </c>
      <c r="I94" s="37" t="s">
        <v>408</v>
      </c>
      <c r="J94" s="37" t="s">
        <v>119</v>
      </c>
      <c r="K94" s="37" t="s">
        <v>13</v>
      </c>
      <c r="L94" s="40">
        <v>377</v>
      </c>
      <c r="M94" s="42">
        <v>56563</v>
      </c>
      <c r="N94" s="105">
        <f>Y94</f>
        <v>0.55000000000000004</v>
      </c>
      <c r="O94" s="39">
        <v>1400715</v>
      </c>
      <c r="P94" s="68"/>
      <c r="Q94" s="68"/>
      <c r="R94" s="84">
        <f t="shared" si="28"/>
        <v>1400715</v>
      </c>
      <c r="S94" s="51">
        <f t="shared" si="21"/>
        <v>1400715</v>
      </c>
      <c r="T94" s="37">
        <v>200</v>
      </c>
      <c r="U94" s="29">
        <v>0.6</v>
      </c>
      <c r="V94" s="74">
        <v>0</v>
      </c>
      <c r="W94" s="73">
        <v>0</v>
      </c>
      <c r="X94" s="153">
        <f t="shared" si="22"/>
        <v>0</v>
      </c>
      <c r="Y94" s="132">
        <f t="shared" si="23"/>
        <v>0.55000000000000004</v>
      </c>
      <c r="Z94" s="62">
        <f t="shared" si="24"/>
        <v>0.6</v>
      </c>
    </row>
    <row r="95" spans="1:26" s="8" customFormat="1" ht="16.95" customHeight="1" x14ac:dyDescent="0.3">
      <c r="A95" s="152">
        <f t="shared" si="25"/>
        <v>64</v>
      </c>
      <c r="B95" s="7">
        <f t="shared" si="20"/>
        <v>24</v>
      </c>
      <c r="C95" s="88">
        <v>40</v>
      </c>
      <c r="D95" s="54" t="s">
        <v>56</v>
      </c>
      <c r="E95" s="37" t="s">
        <v>462</v>
      </c>
      <c r="F95" s="37" t="s">
        <v>309</v>
      </c>
      <c r="G95" s="37" t="s">
        <v>310</v>
      </c>
      <c r="H95" s="37" t="s">
        <v>19</v>
      </c>
      <c r="I95" s="37" t="s">
        <v>404</v>
      </c>
      <c r="J95" s="37" t="s">
        <v>144</v>
      </c>
      <c r="K95" s="37" t="s">
        <v>38</v>
      </c>
      <c r="L95" s="40">
        <v>77240</v>
      </c>
      <c r="M95" s="42">
        <v>48238</v>
      </c>
      <c r="N95" s="105">
        <f>Y95</f>
        <v>0.55000000000000004</v>
      </c>
      <c r="O95" s="39">
        <v>18730588</v>
      </c>
      <c r="P95" s="68"/>
      <c r="Q95" s="68"/>
      <c r="R95" s="84">
        <f t="shared" si="28"/>
        <v>18730588</v>
      </c>
      <c r="S95" s="51">
        <f t="shared" si="21"/>
        <v>18730588</v>
      </c>
      <c r="T95" s="37">
        <v>160</v>
      </c>
      <c r="U95" s="29">
        <v>0.45</v>
      </c>
      <c r="V95" s="74">
        <v>0</v>
      </c>
      <c r="W95" s="73">
        <v>0</v>
      </c>
      <c r="X95" s="153">
        <f t="shared" si="22"/>
        <v>0</v>
      </c>
      <c r="Y95" s="132">
        <f t="shared" si="23"/>
        <v>0.55000000000000004</v>
      </c>
      <c r="Z95" s="62">
        <f t="shared" si="24"/>
        <v>0.45</v>
      </c>
    </row>
    <row r="96" spans="1:26" s="8" customFormat="1" ht="16.95" customHeight="1" x14ac:dyDescent="0.3">
      <c r="A96" s="152">
        <f t="shared" si="25"/>
        <v>64</v>
      </c>
      <c r="B96" s="7">
        <f t="shared" si="20"/>
        <v>21</v>
      </c>
      <c r="C96" s="88">
        <v>43</v>
      </c>
      <c r="D96" s="54" t="s">
        <v>56</v>
      </c>
      <c r="E96" s="37" t="s">
        <v>354</v>
      </c>
      <c r="F96" s="37" t="s">
        <v>357</v>
      </c>
      <c r="G96" s="37" t="s">
        <v>358</v>
      </c>
      <c r="H96" s="37" t="s">
        <v>12</v>
      </c>
      <c r="I96" s="37" t="s">
        <v>432</v>
      </c>
      <c r="J96" s="37" t="s">
        <v>25</v>
      </c>
      <c r="K96" s="37" t="s">
        <v>13</v>
      </c>
      <c r="L96" s="40">
        <v>512</v>
      </c>
      <c r="M96" s="41">
        <v>51449</v>
      </c>
      <c r="N96" s="105">
        <f>Y96</f>
        <v>0.33</v>
      </c>
      <c r="O96" s="39">
        <v>609215.6</v>
      </c>
      <c r="P96" s="68"/>
      <c r="Q96" s="68"/>
      <c r="R96" s="84">
        <f t="shared" si="28"/>
        <v>609215.6</v>
      </c>
      <c r="S96" s="51">
        <f t="shared" si="21"/>
        <v>609215.6</v>
      </c>
      <c r="T96" s="37">
        <v>140</v>
      </c>
      <c r="U96" s="29">
        <v>0.4</v>
      </c>
      <c r="V96" s="74">
        <v>0</v>
      </c>
      <c r="W96" s="73">
        <v>0</v>
      </c>
      <c r="X96" s="153">
        <f t="shared" si="22"/>
        <v>0</v>
      </c>
      <c r="Y96" s="132">
        <f t="shared" si="23"/>
        <v>0.33</v>
      </c>
      <c r="Z96" s="62">
        <f t="shared" si="24"/>
        <v>0.4</v>
      </c>
    </row>
    <row r="97" spans="1:26" s="8" customFormat="1" ht="16.95" customHeight="1" x14ac:dyDescent="0.3">
      <c r="A97" s="152">
        <f t="shared" si="25"/>
        <v>64</v>
      </c>
      <c r="B97" s="7">
        <f t="shared" si="20"/>
        <v>21</v>
      </c>
      <c r="C97" s="88">
        <v>43</v>
      </c>
      <c r="D97" s="54" t="s">
        <v>56</v>
      </c>
      <c r="E97" s="37" t="s">
        <v>354</v>
      </c>
      <c r="F97" s="37" t="s">
        <v>359</v>
      </c>
      <c r="G97" s="37" t="s">
        <v>360</v>
      </c>
      <c r="H97" s="37" t="s">
        <v>12</v>
      </c>
      <c r="I97" s="37" t="s">
        <v>432</v>
      </c>
      <c r="J97" s="37" t="s">
        <v>25</v>
      </c>
      <c r="K97" s="37" t="s">
        <v>13</v>
      </c>
      <c r="L97" s="40">
        <v>512</v>
      </c>
      <c r="M97" s="41">
        <v>51449</v>
      </c>
      <c r="N97" s="105">
        <f>Y97</f>
        <v>0.33</v>
      </c>
      <c r="O97" s="39">
        <v>502002.83</v>
      </c>
      <c r="P97" s="68"/>
      <c r="Q97" s="68"/>
      <c r="R97" s="84">
        <f t="shared" si="28"/>
        <v>502002.83</v>
      </c>
      <c r="S97" s="51">
        <f t="shared" si="21"/>
        <v>502002.83</v>
      </c>
      <c r="T97" s="37">
        <v>140</v>
      </c>
      <c r="U97" s="29">
        <v>0.4</v>
      </c>
      <c r="V97" s="74">
        <v>0</v>
      </c>
      <c r="W97" s="73">
        <v>0</v>
      </c>
      <c r="X97" s="153">
        <f t="shared" si="22"/>
        <v>0</v>
      </c>
      <c r="Y97" s="132">
        <f t="shared" si="23"/>
        <v>0.33</v>
      </c>
      <c r="Z97" s="62">
        <f t="shared" si="24"/>
        <v>0.4</v>
      </c>
    </row>
    <row r="98" spans="1:26" s="8" customFormat="1" ht="16.95" customHeight="1" x14ac:dyDescent="0.3">
      <c r="A98" s="152">
        <f t="shared" si="25"/>
        <v>63.5</v>
      </c>
      <c r="B98" s="7">
        <f t="shared" si="20"/>
        <v>28.5</v>
      </c>
      <c r="C98" s="88">
        <v>35</v>
      </c>
      <c r="D98" s="54" t="s">
        <v>68</v>
      </c>
      <c r="E98" s="37" t="s">
        <v>507</v>
      </c>
      <c r="F98" s="37" t="s">
        <v>214</v>
      </c>
      <c r="G98" s="37" t="s">
        <v>70</v>
      </c>
      <c r="H98" s="37" t="s">
        <v>21</v>
      </c>
      <c r="I98" s="37" t="s">
        <v>429</v>
      </c>
      <c r="J98" s="37" t="s">
        <v>119</v>
      </c>
      <c r="K98" s="37" t="s">
        <v>60</v>
      </c>
      <c r="L98" s="40">
        <v>3216</v>
      </c>
      <c r="M98" s="42">
        <v>44957</v>
      </c>
      <c r="N98" s="317" t="s">
        <v>456</v>
      </c>
      <c r="O98" s="39">
        <v>262615</v>
      </c>
      <c r="P98" s="68"/>
      <c r="Q98" s="68">
        <v>91740</v>
      </c>
      <c r="R98" s="84">
        <f t="shared" si="28"/>
        <v>170875</v>
      </c>
      <c r="S98" s="51">
        <f t="shared" si="21"/>
        <v>170875</v>
      </c>
      <c r="T98" s="37">
        <v>190</v>
      </c>
      <c r="U98" s="29">
        <v>0.55000000000000004</v>
      </c>
      <c r="V98" s="74">
        <v>91740</v>
      </c>
      <c r="W98" s="73">
        <v>0</v>
      </c>
      <c r="X98" s="153">
        <f t="shared" si="22"/>
        <v>91740</v>
      </c>
      <c r="Y98" s="132">
        <f t="shared" si="23"/>
        <v>0.33</v>
      </c>
      <c r="Z98" s="62">
        <f t="shared" si="24"/>
        <v>0.55000000000000004</v>
      </c>
    </row>
    <row r="99" spans="1:26" s="8" customFormat="1" ht="16.95" customHeight="1" x14ac:dyDescent="0.3">
      <c r="A99" s="152">
        <f t="shared" si="25"/>
        <v>62.75</v>
      </c>
      <c r="B99" s="7">
        <f t="shared" si="20"/>
        <v>42.75</v>
      </c>
      <c r="C99" s="88">
        <v>20</v>
      </c>
      <c r="D99" s="54" t="s">
        <v>56</v>
      </c>
      <c r="E99" s="37" t="s">
        <v>182</v>
      </c>
      <c r="F99" s="37" t="s">
        <v>183</v>
      </c>
      <c r="G99" s="37" t="s">
        <v>137</v>
      </c>
      <c r="H99" s="37" t="s">
        <v>21</v>
      </c>
      <c r="I99" s="37" t="s">
        <v>429</v>
      </c>
      <c r="J99" s="37" t="s">
        <v>23</v>
      </c>
      <c r="K99" s="37" t="s">
        <v>60</v>
      </c>
      <c r="L99" s="40">
        <v>334</v>
      </c>
      <c r="M99" s="42">
        <v>30833</v>
      </c>
      <c r="N99" s="105">
        <f t="shared" ref="N99:N104" si="29">Y99</f>
        <v>0.33</v>
      </c>
      <c r="O99" s="39">
        <v>113460</v>
      </c>
      <c r="P99" s="68"/>
      <c r="Q99" s="68"/>
      <c r="R99" s="84">
        <f t="shared" si="28"/>
        <v>113460</v>
      </c>
      <c r="S99" s="51">
        <f t="shared" si="21"/>
        <v>113460</v>
      </c>
      <c r="T99" s="37">
        <v>285</v>
      </c>
      <c r="U99" s="29">
        <v>0.65</v>
      </c>
      <c r="V99" s="74">
        <v>0</v>
      </c>
      <c r="W99" s="73">
        <v>0</v>
      </c>
      <c r="X99" s="153">
        <f t="shared" si="22"/>
        <v>0</v>
      </c>
      <c r="Y99" s="132">
        <f t="shared" si="23"/>
        <v>0.33</v>
      </c>
      <c r="Z99" s="62">
        <f t="shared" si="24"/>
        <v>0.65</v>
      </c>
    </row>
    <row r="100" spans="1:26" s="8" customFormat="1" ht="16.95" customHeight="1" x14ac:dyDescent="0.3">
      <c r="A100" s="152">
        <f t="shared" si="25"/>
        <v>62.75</v>
      </c>
      <c r="B100" s="7">
        <f t="shared" si="20"/>
        <v>24.75</v>
      </c>
      <c r="C100" s="88">
        <v>38</v>
      </c>
      <c r="D100" s="54" t="s">
        <v>56</v>
      </c>
      <c r="E100" s="37" t="s">
        <v>273</v>
      </c>
      <c r="F100" s="37" t="s">
        <v>276</v>
      </c>
      <c r="G100" s="37" t="s">
        <v>277</v>
      </c>
      <c r="H100" s="37" t="s">
        <v>12</v>
      </c>
      <c r="I100" s="37" t="s">
        <v>425</v>
      </c>
      <c r="J100" s="37" t="s">
        <v>25</v>
      </c>
      <c r="K100" s="37" t="s">
        <v>13</v>
      </c>
      <c r="L100" s="40">
        <v>562</v>
      </c>
      <c r="M100" s="42">
        <v>60556</v>
      </c>
      <c r="N100" s="105">
        <f t="shared" si="29"/>
        <v>0.55000000000000004</v>
      </c>
      <c r="O100" s="39">
        <v>1172290</v>
      </c>
      <c r="P100" s="68"/>
      <c r="Q100" s="68"/>
      <c r="R100" s="84">
        <f t="shared" si="28"/>
        <v>1172290</v>
      </c>
      <c r="S100" s="51">
        <f t="shared" si="21"/>
        <v>1172290</v>
      </c>
      <c r="T100" s="37">
        <v>165</v>
      </c>
      <c r="U100" s="29">
        <v>0.45</v>
      </c>
      <c r="V100" s="74">
        <v>0</v>
      </c>
      <c r="W100" s="73">
        <v>0</v>
      </c>
      <c r="X100" s="153">
        <f t="shared" si="22"/>
        <v>0</v>
      </c>
      <c r="Y100" s="132">
        <f t="shared" si="23"/>
        <v>0.55000000000000004</v>
      </c>
      <c r="Z100" s="62">
        <f t="shared" si="24"/>
        <v>0.45</v>
      </c>
    </row>
    <row r="101" spans="1:26" s="8" customFormat="1" ht="16.95" customHeight="1" x14ac:dyDescent="0.3">
      <c r="A101" s="152">
        <f t="shared" si="25"/>
        <v>62</v>
      </c>
      <c r="B101" s="7">
        <f t="shared" ref="B101:B132" si="30">T101*0.15</f>
        <v>24</v>
      </c>
      <c r="C101" s="88">
        <v>38</v>
      </c>
      <c r="D101" s="54" t="s">
        <v>56</v>
      </c>
      <c r="E101" s="37" t="s">
        <v>381</v>
      </c>
      <c r="F101" s="37" t="s">
        <v>382</v>
      </c>
      <c r="G101" s="37" t="s">
        <v>383</v>
      </c>
      <c r="H101" s="37" t="s">
        <v>15</v>
      </c>
      <c r="I101" s="37" t="s">
        <v>416</v>
      </c>
      <c r="J101" s="37" t="s">
        <v>75</v>
      </c>
      <c r="K101" s="37" t="s">
        <v>39</v>
      </c>
      <c r="L101" s="40">
        <v>1630</v>
      </c>
      <c r="M101" s="41">
        <v>49167</v>
      </c>
      <c r="N101" s="105">
        <f t="shared" si="29"/>
        <v>0.33</v>
      </c>
      <c r="O101" s="39">
        <v>1033214</v>
      </c>
      <c r="P101" s="68"/>
      <c r="Q101" s="68"/>
      <c r="R101" s="84">
        <f t="shared" si="28"/>
        <v>1033214</v>
      </c>
      <c r="S101" s="51">
        <f t="shared" ref="S101:S132" si="31">O101-X101</f>
        <v>1033214</v>
      </c>
      <c r="T101" s="37">
        <v>160</v>
      </c>
      <c r="U101" s="29">
        <v>0.45</v>
      </c>
      <c r="V101" s="74">
        <v>0</v>
      </c>
      <c r="W101" s="73">
        <v>0</v>
      </c>
      <c r="X101" s="153">
        <f t="shared" ref="X101:X132" si="32">V101+W101</f>
        <v>0</v>
      </c>
      <c r="Y101" s="132">
        <f t="shared" ref="Y101:Y132" si="33">IF(AND(L101&lt;10000,M101&lt;53664),33%,55%)</f>
        <v>0.33</v>
      </c>
      <c r="Z101" s="62">
        <f t="shared" ref="Z101:Z132" si="34">IF(T101&gt;=250,0.65,IF(T101&gt;=200,0.6,IF(T101&gt;=185,0.55,IF(T101&gt;=170,0.5,IF(T101&gt;=155,0.45,IF(T101&gt;=140,0.4,IF(T101&gt;=125,0.35,IF(T101&gt;=110,0.3,IF(T101&gt;=95,0.25,IF(T101&gt;=80,0.2,IF(T101&gt;=70,0.15,IF(T101&gt;=60,0.1,IF(T101&lt;60,0)))))))))))))</f>
        <v>0.45</v>
      </c>
    </row>
    <row r="102" spans="1:26" s="8" customFormat="1" ht="16.95" customHeight="1" x14ac:dyDescent="0.3">
      <c r="A102" s="152">
        <f t="shared" si="25"/>
        <v>61.75</v>
      </c>
      <c r="B102" s="7">
        <f t="shared" si="30"/>
        <v>3.75</v>
      </c>
      <c r="C102" s="88">
        <v>58</v>
      </c>
      <c r="D102" s="54" t="s">
        <v>56</v>
      </c>
      <c r="E102" s="37" t="s">
        <v>476</v>
      </c>
      <c r="F102" s="37" t="s">
        <v>204</v>
      </c>
      <c r="G102" s="37" t="s">
        <v>205</v>
      </c>
      <c r="H102" s="37" t="s">
        <v>16</v>
      </c>
      <c r="I102" s="37" t="s">
        <v>420</v>
      </c>
      <c r="J102" s="92" t="s">
        <v>14</v>
      </c>
      <c r="K102" s="37" t="s">
        <v>17</v>
      </c>
      <c r="L102" s="40">
        <v>17441</v>
      </c>
      <c r="M102" s="42">
        <v>69308</v>
      </c>
      <c r="N102" s="105">
        <f t="shared" si="29"/>
        <v>0.55000000000000004</v>
      </c>
      <c r="O102" s="39">
        <v>2362006</v>
      </c>
      <c r="P102" s="68"/>
      <c r="Q102" s="68"/>
      <c r="R102" s="84">
        <f t="shared" si="28"/>
        <v>2362006</v>
      </c>
      <c r="S102" s="51">
        <f t="shared" si="31"/>
        <v>2362006</v>
      </c>
      <c r="T102" s="37">
        <v>25</v>
      </c>
      <c r="U102" s="29">
        <v>0</v>
      </c>
      <c r="V102" s="74">
        <v>0</v>
      </c>
      <c r="W102" s="73">
        <v>0</v>
      </c>
      <c r="X102" s="153">
        <f t="shared" si="32"/>
        <v>0</v>
      </c>
      <c r="Y102" s="132">
        <f t="shared" si="33"/>
        <v>0.55000000000000004</v>
      </c>
      <c r="Z102" s="62">
        <f t="shared" si="34"/>
        <v>0</v>
      </c>
    </row>
    <row r="103" spans="1:26" s="8" customFormat="1" ht="16.95" customHeight="1" x14ac:dyDescent="0.3">
      <c r="A103" s="152">
        <f t="shared" si="25"/>
        <v>61.75</v>
      </c>
      <c r="B103" s="7">
        <f t="shared" si="30"/>
        <v>3.75</v>
      </c>
      <c r="C103" s="88">
        <v>58</v>
      </c>
      <c r="D103" s="54" t="s">
        <v>56</v>
      </c>
      <c r="E103" s="37" t="s">
        <v>459</v>
      </c>
      <c r="F103" s="37" t="s">
        <v>228</v>
      </c>
      <c r="G103" s="37" t="s">
        <v>229</v>
      </c>
      <c r="H103" s="37" t="s">
        <v>15</v>
      </c>
      <c r="I103" s="37" t="s">
        <v>51</v>
      </c>
      <c r="J103" s="37" t="s">
        <v>22</v>
      </c>
      <c r="K103" s="37" t="s">
        <v>39</v>
      </c>
      <c r="L103" s="40">
        <v>279012</v>
      </c>
      <c r="M103" s="42">
        <v>70466</v>
      </c>
      <c r="N103" s="105">
        <f t="shared" si="29"/>
        <v>0.55000000000000004</v>
      </c>
      <c r="O103" s="39">
        <v>180000</v>
      </c>
      <c r="P103" s="68"/>
      <c r="Q103" s="68"/>
      <c r="R103" s="84">
        <f t="shared" si="28"/>
        <v>180000</v>
      </c>
      <c r="S103" s="51">
        <f t="shared" si="31"/>
        <v>180000</v>
      </c>
      <c r="T103" s="37">
        <v>25</v>
      </c>
      <c r="U103" s="29">
        <v>0</v>
      </c>
      <c r="V103" s="74">
        <v>0</v>
      </c>
      <c r="W103" s="73">
        <v>0</v>
      </c>
      <c r="X103" s="153">
        <f t="shared" si="32"/>
        <v>0</v>
      </c>
      <c r="Y103" s="132">
        <f t="shared" si="33"/>
        <v>0.55000000000000004</v>
      </c>
      <c r="Z103" s="62">
        <f t="shared" si="34"/>
        <v>0</v>
      </c>
    </row>
    <row r="104" spans="1:26" s="8" customFormat="1" ht="16.95" customHeight="1" x14ac:dyDescent="0.3">
      <c r="A104" s="152">
        <f t="shared" si="25"/>
        <v>61.5</v>
      </c>
      <c r="B104" s="7">
        <f t="shared" si="30"/>
        <v>28.5</v>
      </c>
      <c r="C104" s="88">
        <v>33</v>
      </c>
      <c r="D104" s="54" t="s">
        <v>56</v>
      </c>
      <c r="E104" s="37" t="s">
        <v>30</v>
      </c>
      <c r="F104" s="37" t="s">
        <v>215</v>
      </c>
      <c r="G104" s="37" t="s">
        <v>216</v>
      </c>
      <c r="H104" s="37" t="s">
        <v>21</v>
      </c>
      <c r="I104" s="37" t="s">
        <v>429</v>
      </c>
      <c r="J104" s="37" t="s">
        <v>119</v>
      </c>
      <c r="K104" s="37" t="s">
        <v>60</v>
      </c>
      <c r="L104" s="40">
        <v>3216</v>
      </c>
      <c r="M104" s="42">
        <v>44957</v>
      </c>
      <c r="N104" s="105">
        <f t="shared" si="29"/>
        <v>0.33</v>
      </c>
      <c r="O104" s="39">
        <v>429844</v>
      </c>
      <c r="P104" s="68"/>
      <c r="Q104" s="68"/>
      <c r="R104" s="84">
        <f t="shared" si="28"/>
        <v>429844</v>
      </c>
      <c r="S104" s="51">
        <f t="shared" si="31"/>
        <v>429844</v>
      </c>
      <c r="T104" s="37">
        <v>190</v>
      </c>
      <c r="U104" s="29">
        <v>0.55000000000000004</v>
      </c>
      <c r="V104" s="74">
        <v>0</v>
      </c>
      <c r="W104" s="73">
        <v>0</v>
      </c>
      <c r="X104" s="153">
        <f t="shared" si="32"/>
        <v>0</v>
      </c>
      <c r="Y104" s="132">
        <f t="shared" si="33"/>
        <v>0.33</v>
      </c>
      <c r="Z104" s="62">
        <f t="shared" si="34"/>
        <v>0.55000000000000004</v>
      </c>
    </row>
    <row r="105" spans="1:26" s="8" customFormat="1" ht="16.95" customHeight="1" x14ac:dyDescent="0.3">
      <c r="A105" s="152">
        <f t="shared" ref="A105:A136" si="35">B105+C105</f>
        <v>60.75</v>
      </c>
      <c r="B105" s="7">
        <f t="shared" si="30"/>
        <v>0.75</v>
      </c>
      <c r="C105" s="88">
        <v>60</v>
      </c>
      <c r="D105" s="54" t="s">
        <v>68</v>
      </c>
      <c r="E105" s="37" t="s">
        <v>592</v>
      </c>
      <c r="F105" s="37" t="s">
        <v>140</v>
      </c>
      <c r="G105" s="37" t="s">
        <v>70</v>
      </c>
      <c r="H105" s="37" t="s">
        <v>19</v>
      </c>
      <c r="I105" s="93" t="s">
        <v>423</v>
      </c>
      <c r="J105" s="37" t="s">
        <v>43</v>
      </c>
      <c r="K105" s="37" t="s">
        <v>38</v>
      </c>
      <c r="L105" s="40">
        <v>12446</v>
      </c>
      <c r="M105" s="42">
        <v>79935</v>
      </c>
      <c r="N105" s="317" t="s">
        <v>456</v>
      </c>
      <c r="O105" s="39">
        <v>970600</v>
      </c>
      <c r="P105" s="68"/>
      <c r="Q105" s="68">
        <v>0</v>
      </c>
      <c r="R105" s="84">
        <f t="shared" si="28"/>
        <v>970600</v>
      </c>
      <c r="S105" s="51">
        <f t="shared" si="31"/>
        <v>970600</v>
      </c>
      <c r="T105" s="37">
        <v>5</v>
      </c>
      <c r="U105" s="29">
        <v>0</v>
      </c>
      <c r="V105" s="74">
        <v>0</v>
      </c>
      <c r="W105" s="73">
        <v>0</v>
      </c>
      <c r="X105" s="153">
        <f t="shared" si="32"/>
        <v>0</v>
      </c>
      <c r="Y105" s="132">
        <f t="shared" si="33"/>
        <v>0.55000000000000004</v>
      </c>
      <c r="Z105" s="62">
        <f t="shared" si="34"/>
        <v>0</v>
      </c>
    </row>
    <row r="106" spans="1:26" s="8" customFormat="1" ht="16.95" customHeight="1" x14ac:dyDescent="0.3">
      <c r="A106" s="152">
        <f t="shared" si="35"/>
        <v>60.25</v>
      </c>
      <c r="B106" s="7">
        <f t="shared" si="30"/>
        <v>26.25</v>
      </c>
      <c r="C106" s="88">
        <v>34</v>
      </c>
      <c r="D106" s="54" t="s">
        <v>56</v>
      </c>
      <c r="E106" s="37" t="s">
        <v>145</v>
      </c>
      <c r="F106" s="37" t="s">
        <v>146</v>
      </c>
      <c r="G106" s="37" t="s">
        <v>147</v>
      </c>
      <c r="H106" s="37" t="s">
        <v>12</v>
      </c>
      <c r="I106" s="37" t="s">
        <v>408</v>
      </c>
      <c r="J106" s="37" t="s">
        <v>23</v>
      </c>
      <c r="K106" s="37" t="s">
        <v>13</v>
      </c>
      <c r="L106" s="40">
        <v>1936</v>
      </c>
      <c r="M106" s="42">
        <v>49420</v>
      </c>
      <c r="N106" s="105">
        <f t="shared" ref="N106:N128" si="36">Y106</f>
        <v>0.33</v>
      </c>
      <c r="O106" s="39">
        <v>720050</v>
      </c>
      <c r="P106" s="68"/>
      <c r="Q106" s="68"/>
      <c r="R106" s="84">
        <f t="shared" si="28"/>
        <v>720050</v>
      </c>
      <c r="S106" s="51">
        <f t="shared" si="31"/>
        <v>720050</v>
      </c>
      <c r="T106" s="37">
        <v>175</v>
      </c>
      <c r="U106" s="29">
        <v>0.5</v>
      </c>
      <c r="V106" s="74">
        <v>0</v>
      </c>
      <c r="W106" s="73">
        <v>0</v>
      </c>
      <c r="X106" s="153">
        <f t="shared" si="32"/>
        <v>0</v>
      </c>
      <c r="Y106" s="132">
        <f t="shared" si="33"/>
        <v>0.33</v>
      </c>
      <c r="Z106" s="62">
        <f t="shared" si="34"/>
        <v>0.5</v>
      </c>
    </row>
    <row r="107" spans="1:26" s="8" customFormat="1" ht="16.95" customHeight="1" x14ac:dyDescent="0.3">
      <c r="A107" s="152">
        <f t="shared" si="35"/>
        <v>60</v>
      </c>
      <c r="B107" s="7">
        <f t="shared" si="30"/>
        <v>18</v>
      </c>
      <c r="C107" s="88">
        <v>42</v>
      </c>
      <c r="D107" s="54" t="s">
        <v>56</v>
      </c>
      <c r="E107" s="37" t="s">
        <v>123</v>
      </c>
      <c r="F107" s="37" t="s">
        <v>124</v>
      </c>
      <c r="G107" s="37" t="s">
        <v>125</v>
      </c>
      <c r="H107" s="37" t="s">
        <v>12</v>
      </c>
      <c r="I107" s="91" t="s">
        <v>421</v>
      </c>
      <c r="J107" s="37" t="s">
        <v>113</v>
      </c>
      <c r="K107" s="37" t="s">
        <v>13</v>
      </c>
      <c r="L107" s="40">
        <v>1293</v>
      </c>
      <c r="M107" s="42">
        <v>59911</v>
      </c>
      <c r="N107" s="105">
        <f t="shared" si="36"/>
        <v>0.55000000000000004</v>
      </c>
      <c r="O107" s="39">
        <v>1634790</v>
      </c>
      <c r="P107" s="68"/>
      <c r="Q107" s="68"/>
      <c r="R107" s="84">
        <f t="shared" si="28"/>
        <v>1634790</v>
      </c>
      <c r="S107" s="51">
        <f t="shared" si="31"/>
        <v>1634790</v>
      </c>
      <c r="T107" s="37">
        <v>120</v>
      </c>
      <c r="U107" s="29">
        <v>0.3</v>
      </c>
      <c r="V107" s="74">
        <v>0</v>
      </c>
      <c r="W107" s="73">
        <v>0</v>
      </c>
      <c r="X107" s="153">
        <f t="shared" si="32"/>
        <v>0</v>
      </c>
      <c r="Y107" s="132">
        <f t="shared" si="33"/>
        <v>0.55000000000000004</v>
      </c>
      <c r="Z107" s="62">
        <f t="shared" si="34"/>
        <v>0.3</v>
      </c>
    </row>
    <row r="108" spans="1:26" s="8" customFormat="1" ht="16.95" customHeight="1" x14ac:dyDescent="0.3">
      <c r="A108" s="152">
        <f t="shared" si="35"/>
        <v>60</v>
      </c>
      <c r="B108" s="7">
        <f t="shared" si="30"/>
        <v>18</v>
      </c>
      <c r="C108" s="88">
        <v>42</v>
      </c>
      <c r="D108" s="54" t="s">
        <v>56</v>
      </c>
      <c r="E108" s="37" t="s">
        <v>28</v>
      </c>
      <c r="F108" s="37" t="s">
        <v>130</v>
      </c>
      <c r="G108" s="37" t="s">
        <v>131</v>
      </c>
      <c r="H108" s="37" t="s">
        <v>15</v>
      </c>
      <c r="I108" s="37" t="s">
        <v>51</v>
      </c>
      <c r="J108" s="37" t="s">
        <v>25</v>
      </c>
      <c r="K108" s="37" t="s">
        <v>39</v>
      </c>
      <c r="L108" s="40">
        <v>953</v>
      </c>
      <c r="M108" s="42">
        <v>65250</v>
      </c>
      <c r="N108" s="105">
        <f t="shared" si="36"/>
        <v>0.55000000000000004</v>
      </c>
      <c r="O108" s="39">
        <v>1325750</v>
      </c>
      <c r="P108" s="68"/>
      <c r="Q108" s="68"/>
      <c r="R108" s="84">
        <f t="shared" si="28"/>
        <v>1325750</v>
      </c>
      <c r="S108" s="51">
        <f t="shared" si="31"/>
        <v>1325750</v>
      </c>
      <c r="T108" s="37">
        <v>120</v>
      </c>
      <c r="U108" s="29">
        <v>0.3</v>
      </c>
      <c r="V108" s="74">
        <v>0</v>
      </c>
      <c r="W108" s="73">
        <v>0</v>
      </c>
      <c r="X108" s="153">
        <f t="shared" si="32"/>
        <v>0</v>
      </c>
      <c r="Y108" s="132">
        <f t="shared" si="33"/>
        <v>0.55000000000000004</v>
      </c>
      <c r="Z108" s="62">
        <f t="shared" si="34"/>
        <v>0.3</v>
      </c>
    </row>
    <row r="109" spans="1:26" s="8" customFormat="1" ht="16.95" customHeight="1" x14ac:dyDescent="0.3">
      <c r="A109" s="152">
        <f t="shared" si="35"/>
        <v>59.75</v>
      </c>
      <c r="B109" s="7">
        <f t="shared" si="30"/>
        <v>21.75</v>
      </c>
      <c r="C109" s="88">
        <v>38</v>
      </c>
      <c r="D109" s="54" t="s">
        <v>56</v>
      </c>
      <c r="E109" s="37" t="s">
        <v>238</v>
      </c>
      <c r="F109" s="37" t="s">
        <v>239</v>
      </c>
      <c r="G109" s="37" t="s">
        <v>240</v>
      </c>
      <c r="H109" s="37" t="s">
        <v>16</v>
      </c>
      <c r="I109" s="37" t="s">
        <v>433</v>
      </c>
      <c r="J109" s="37" t="s">
        <v>129</v>
      </c>
      <c r="K109" s="37" t="s">
        <v>17</v>
      </c>
      <c r="L109" s="40">
        <v>356</v>
      </c>
      <c r="M109" s="42">
        <v>62955</v>
      </c>
      <c r="N109" s="105">
        <f t="shared" si="36"/>
        <v>0.55000000000000004</v>
      </c>
      <c r="O109" s="39">
        <v>572439</v>
      </c>
      <c r="P109" s="68"/>
      <c r="Q109" s="68"/>
      <c r="R109" s="84">
        <f t="shared" si="28"/>
        <v>572439</v>
      </c>
      <c r="S109" s="51">
        <f t="shared" si="31"/>
        <v>572439</v>
      </c>
      <c r="T109" s="37">
        <v>145</v>
      </c>
      <c r="U109" s="29">
        <v>0.4</v>
      </c>
      <c r="V109" s="74">
        <v>0</v>
      </c>
      <c r="W109" s="73">
        <v>0</v>
      </c>
      <c r="X109" s="153">
        <f t="shared" si="32"/>
        <v>0</v>
      </c>
      <c r="Y109" s="132">
        <f t="shared" si="33"/>
        <v>0.55000000000000004</v>
      </c>
      <c r="Z109" s="62">
        <f t="shared" si="34"/>
        <v>0.4</v>
      </c>
    </row>
    <row r="110" spans="1:26" s="8" customFormat="1" ht="16.95" customHeight="1" x14ac:dyDescent="0.3">
      <c r="A110" s="152">
        <f t="shared" si="35"/>
        <v>59.5</v>
      </c>
      <c r="B110" s="7">
        <f t="shared" si="30"/>
        <v>10.5</v>
      </c>
      <c r="C110" s="88">
        <v>49</v>
      </c>
      <c r="D110" s="54" t="s">
        <v>56</v>
      </c>
      <c r="E110" s="37" t="s">
        <v>350</v>
      </c>
      <c r="F110" s="37" t="s">
        <v>351</v>
      </c>
      <c r="G110" s="37" t="s">
        <v>352</v>
      </c>
      <c r="H110" s="37" t="s">
        <v>16</v>
      </c>
      <c r="I110" s="37" t="s">
        <v>50</v>
      </c>
      <c r="J110" s="37" t="s">
        <v>40</v>
      </c>
      <c r="K110" s="37" t="s">
        <v>17</v>
      </c>
      <c r="L110" s="40">
        <v>11243</v>
      </c>
      <c r="M110" s="41">
        <v>54544</v>
      </c>
      <c r="N110" s="105">
        <f t="shared" si="36"/>
        <v>0.55000000000000004</v>
      </c>
      <c r="O110" s="39">
        <v>1328000</v>
      </c>
      <c r="P110" s="68"/>
      <c r="Q110" s="68"/>
      <c r="R110" s="84">
        <f t="shared" si="28"/>
        <v>1328000</v>
      </c>
      <c r="S110" s="51">
        <f t="shared" si="31"/>
        <v>1328000</v>
      </c>
      <c r="T110" s="37">
        <v>70</v>
      </c>
      <c r="U110" s="29">
        <v>0.15</v>
      </c>
      <c r="V110" s="74">
        <v>0</v>
      </c>
      <c r="W110" s="73">
        <v>0</v>
      </c>
      <c r="X110" s="153">
        <f t="shared" si="32"/>
        <v>0</v>
      </c>
      <c r="Y110" s="132">
        <f t="shared" si="33"/>
        <v>0.55000000000000004</v>
      </c>
      <c r="Z110" s="62">
        <f t="shared" si="34"/>
        <v>0.15</v>
      </c>
    </row>
    <row r="111" spans="1:26" s="8" customFormat="1" ht="16.95" customHeight="1" x14ac:dyDescent="0.3">
      <c r="A111" s="152">
        <f t="shared" si="35"/>
        <v>59.5</v>
      </c>
      <c r="B111" s="7">
        <f t="shared" si="30"/>
        <v>19.5</v>
      </c>
      <c r="C111" s="88">
        <v>40</v>
      </c>
      <c r="D111" s="54" t="s">
        <v>56</v>
      </c>
      <c r="E111" s="45" t="s">
        <v>35</v>
      </c>
      <c r="F111" s="37" t="s">
        <v>36</v>
      </c>
      <c r="G111" s="37" t="s">
        <v>37</v>
      </c>
      <c r="H111" s="37" t="s">
        <v>21</v>
      </c>
      <c r="I111" s="37" t="s">
        <v>444</v>
      </c>
      <c r="J111" s="37" t="s">
        <v>129</v>
      </c>
      <c r="K111" s="37" t="s">
        <v>60</v>
      </c>
      <c r="L111" s="38">
        <v>460</v>
      </c>
      <c r="M111" s="39">
        <v>59375</v>
      </c>
      <c r="N111" s="105">
        <f t="shared" si="36"/>
        <v>0.55000000000000004</v>
      </c>
      <c r="O111" s="39">
        <v>1398580</v>
      </c>
      <c r="P111" s="68"/>
      <c r="Q111" s="68"/>
      <c r="R111" s="84">
        <f t="shared" si="28"/>
        <v>1398580</v>
      </c>
      <c r="S111" s="51">
        <f t="shared" si="31"/>
        <v>1398580</v>
      </c>
      <c r="T111" s="37">
        <v>130</v>
      </c>
      <c r="U111" s="29">
        <v>0.35</v>
      </c>
      <c r="V111" s="74">
        <v>0</v>
      </c>
      <c r="W111" s="73">
        <v>0</v>
      </c>
      <c r="X111" s="153">
        <f t="shared" si="32"/>
        <v>0</v>
      </c>
      <c r="Y111" s="132">
        <f t="shared" si="33"/>
        <v>0.55000000000000004</v>
      </c>
      <c r="Z111" s="62">
        <f t="shared" si="34"/>
        <v>0.35</v>
      </c>
    </row>
    <row r="112" spans="1:26" s="8" customFormat="1" ht="16.95" customHeight="1" x14ac:dyDescent="0.3">
      <c r="A112" s="152">
        <f t="shared" si="35"/>
        <v>59</v>
      </c>
      <c r="B112" s="7">
        <f t="shared" si="30"/>
        <v>18</v>
      </c>
      <c r="C112" s="88">
        <v>41</v>
      </c>
      <c r="D112" s="54" t="s">
        <v>56</v>
      </c>
      <c r="E112" s="37" t="s">
        <v>281</v>
      </c>
      <c r="F112" s="37" t="s">
        <v>282</v>
      </c>
      <c r="G112" s="37" t="s">
        <v>283</v>
      </c>
      <c r="H112" s="37" t="s">
        <v>16</v>
      </c>
      <c r="I112" s="37" t="s">
        <v>439</v>
      </c>
      <c r="J112" s="37" t="s">
        <v>129</v>
      </c>
      <c r="K112" s="37" t="s">
        <v>17</v>
      </c>
      <c r="L112" s="40">
        <v>7491</v>
      </c>
      <c r="M112" s="42">
        <v>55629</v>
      </c>
      <c r="N112" s="105">
        <f t="shared" si="36"/>
        <v>0.55000000000000004</v>
      </c>
      <c r="O112" s="81">
        <v>422450</v>
      </c>
      <c r="P112" s="68"/>
      <c r="Q112" s="68"/>
      <c r="R112" s="84">
        <f t="shared" si="28"/>
        <v>422450</v>
      </c>
      <c r="S112" s="51">
        <f t="shared" si="31"/>
        <v>422450</v>
      </c>
      <c r="T112" s="37">
        <v>120</v>
      </c>
      <c r="U112" s="29">
        <v>0.3</v>
      </c>
      <c r="V112" s="74">
        <v>0</v>
      </c>
      <c r="W112" s="73">
        <v>0</v>
      </c>
      <c r="X112" s="153">
        <f t="shared" si="32"/>
        <v>0</v>
      </c>
      <c r="Y112" s="132">
        <f t="shared" si="33"/>
        <v>0.55000000000000004</v>
      </c>
      <c r="Z112" s="62">
        <f t="shared" si="34"/>
        <v>0.3</v>
      </c>
    </row>
    <row r="113" spans="1:26" s="8" customFormat="1" ht="16.95" customHeight="1" x14ac:dyDescent="0.3">
      <c r="A113" s="152">
        <f t="shared" si="35"/>
        <v>58.75</v>
      </c>
      <c r="B113" s="7">
        <f t="shared" si="30"/>
        <v>33.75</v>
      </c>
      <c r="C113" s="88">
        <v>25</v>
      </c>
      <c r="D113" s="54" t="s">
        <v>56</v>
      </c>
      <c r="E113" s="37" t="s">
        <v>195</v>
      </c>
      <c r="F113" s="37" t="s">
        <v>198</v>
      </c>
      <c r="G113" s="37" t="s">
        <v>199</v>
      </c>
      <c r="H113" s="37" t="s">
        <v>12</v>
      </c>
      <c r="I113" s="37" t="s">
        <v>407</v>
      </c>
      <c r="J113" s="37" t="s">
        <v>25</v>
      </c>
      <c r="K113" s="37" t="s">
        <v>60</v>
      </c>
      <c r="L113" s="38">
        <v>419</v>
      </c>
      <c r="M113" s="42">
        <v>53438</v>
      </c>
      <c r="N113" s="105">
        <f t="shared" si="36"/>
        <v>0.33</v>
      </c>
      <c r="O113" s="39">
        <v>594667</v>
      </c>
      <c r="P113" s="68"/>
      <c r="Q113" s="68"/>
      <c r="R113" s="84">
        <f t="shared" si="28"/>
        <v>594667</v>
      </c>
      <c r="S113" s="51">
        <f t="shared" si="31"/>
        <v>594667</v>
      </c>
      <c r="T113" s="37">
        <v>225</v>
      </c>
      <c r="U113" s="29">
        <v>0.6</v>
      </c>
      <c r="V113" s="74">
        <v>0</v>
      </c>
      <c r="W113" s="73">
        <v>0</v>
      </c>
      <c r="X113" s="153">
        <f t="shared" si="32"/>
        <v>0</v>
      </c>
      <c r="Y113" s="132">
        <f t="shared" si="33"/>
        <v>0.33</v>
      </c>
      <c r="Z113" s="62">
        <f t="shared" si="34"/>
        <v>0.6</v>
      </c>
    </row>
    <row r="114" spans="1:26" s="8" customFormat="1" ht="16.95" customHeight="1" x14ac:dyDescent="0.3">
      <c r="A114" s="152">
        <f t="shared" si="35"/>
        <v>58</v>
      </c>
      <c r="B114" s="7">
        <f t="shared" si="30"/>
        <v>30</v>
      </c>
      <c r="C114" s="88">
        <v>28</v>
      </c>
      <c r="D114" s="54" t="s">
        <v>56</v>
      </c>
      <c r="E114" s="37" t="s">
        <v>191</v>
      </c>
      <c r="F114" s="37" t="s">
        <v>192</v>
      </c>
      <c r="G114" s="37" t="s">
        <v>193</v>
      </c>
      <c r="H114" s="37" t="s">
        <v>15</v>
      </c>
      <c r="I114" s="37" t="s">
        <v>417</v>
      </c>
      <c r="J114" s="37" t="s">
        <v>89</v>
      </c>
      <c r="K114" s="37" t="s">
        <v>39</v>
      </c>
      <c r="L114" s="40">
        <v>874</v>
      </c>
      <c r="M114" s="42">
        <v>83750</v>
      </c>
      <c r="N114" s="105">
        <f t="shared" si="36"/>
        <v>0.55000000000000004</v>
      </c>
      <c r="O114" s="39">
        <v>1625001</v>
      </c>
      <c r="P114" s="68"/>
      <c r="Q114" s="68"/>
      <c r="R114" s="84">
        <f t="shared" si="28"/>
        <v>1625001</v>
      </c>
      <c r="S114" s="51">
        <f t="shared" si="31"/>
        <v>1625001</v>
      </c>
      <c r="T114" s="37">
        <v>200</v>
      </c>
      <c r="U114" s="29">
        <v>0.6</v>
      </c>
      <c r="V114" s="74">
        <v>0</v>
      </c>
      <c r="W114" s="73">
        <v>0</v>
      </c>
      <c r="X114" s="153">
        <f t="shared" si="32"/>
        <v>0</v>
      </c>
      <c r="Y114" s="132">
        <f t="shared" si="33"/>
        <v>0.55000000000000004</v>
      </c>
      <c r="Z114" s="62">
        <f t="shared" si="34"/>
        <v>0.6</v>
      </c>
    </row>
    <row r="115" spans="1:26" s="8" customFormat="1" ht="16.95" customHeight="1" x14ac:dyDescent="0.3">
      <c r="A115" s="152">
        <f t="shared" si="35"/>
        <v>58</v>
      </c>
      <c r="B115" s="7">
        <f t="shared" si="30"/>
        <v>9</v>
      </c>
      <c r="C115" s="88">
        <v>49</v>
      </c>
      <c r="D115" s="54" t="s">
        <v>56</v>
      </c>
      <c r="E115" s="37" t="s">
        <v>473</v>
      </c>
      <c r="F115" s="37" t="s">
        <v>251</v>
      </c>
      <c r="G115" s="37" t="s">
        <v>252</v>
      </c>
      <c r="H115" s="37" t="s">
        <v>16</v>
      </c>
      <c r="I115" s="37" t="s">
        <v>411</v>
      </c>
      <c r="J115" s="37" t="s">
        <v>101</v>
      </c>
      <c r="K115" s="37" t="s">
        <v>17</v>
      </c>
      <c r="L115" s="40">
        <v>18490</v>
      </c>
      <c r="M115" s="42">
        <v>58182</v>
      </c>
      <c r="N115" s="105">
        <f t="shared" si="36"/>
        <v>0.55000000000000004</v>
      </c>
      <c r="O115" s="39">
        <v>905110</v>
      </c>
      <c r="P115" s="68"/>
      <c r="Q115" s="68"/>
      <c r="R115" s="84">
        <f t="shared" ref="R115:R146" si="37">O115-P115-Q115</f>
        <v>905110</v>
      </c>
      <c r="S115" s="51">
        <f t="shared" si="31"/>
        <v>905110</v>
      </c>
      <c r="T115" s="37">
        <v>60</v>
      </c>
      <c r="U115" s="29">
        <v>0.1</v>
      </c>
      <c r="V115" s="74">
        <v>0</v>
      </c>
      <c r="W115" s="73">
        <v>0</v>
      </c>
      <c r="X115" s="153">
        <f t="shared" si="32"/>
        <v>0</v>
      </c>
      <c r="Y115" s="132">
        <f t="shared" si="33"/>
        <v>0.55000000000000004</v>
      </c>
      <c r="Z115" s="62">
        <f t="shared" si="34"/>
        <v>0.1</v>
      </c>
    </row>
    <row r="116" spans="1:26" s="8" customFormat="1" ht="16.95" customHeight="1" x14ac:dyDescent="0.3">
      <c r="A116" s="152">
        <f t="shared" si="35"/>
        <v>57.75</v>
      </c>
      <c r="B116" s="7">
        <f t="shared" si="30"/>
        <v>24.75</v>
      </c>
      <c r="C116" s="88">
        <v>33</v>
      </c>
      <c r="D116" s="54" t="s">
        <v>56</v>
      </c>
      <c r="E116" s="37" t="s">
        <v>273</v>
      </c>
      <c r="F116" s="37" t="s">
        <v>274</v>
      </c>
      <c r="G116" s="37" t="s">
        <v>275</v>
      </c>
      <c r="H116" s="37" t="s">
        <v>12</v>
      </c>
      <c r="I116" s="37" t="s">
        <v>425</v>
      </c>
      <c r="J116" s="37" t="s">
        <v>25</v>
      </c>
      <c r="K116" s="37" t="s">
        <v>13</v>
      </c>
      <c r="L116" s="40">
        <v>562</v>
      </c>
      <c r="M116" s="42">
        <v>60556</v>
      </c>
      <c r="N116" s="105">
        <f t="shared" si="36"/>
        <v>0.55000000000000004</v>
      </c>
      <c r="O116" s="39">
        <v>1001515</v>
      </c>
      <c r="P116" s="68"/>
      <c r="Q116" s="68"/>
      <c r="R116" s="84">
        <f t="shared" si="37"/>
        <v>1001515</v>
      </c>
      <c r="S116" s="51">
        <f t="shared" si="31"/>
        <v>1001515</v>
      </c>
      <c r="T116" s="37">
        <v>165</v>
      </c>
      <c r="U116" s="29">
        <v>0.45</v>
      </c>
      <c r="V116" s="74">
        <v>0</v>
      </c>
      <c r="W116" s="73">
        <v>0</v>
      </c>
      <c r="X116" s="153">
        <f t="shared" si="32"/>
        <v>0</v>
      </c>
      <c r="Y116" s="132">
        <f t="shared" si="33"/>
        <v>0.55000000000000004</v>
      </c>
      <c r="Z116" s="62">
        <f t="shared" si="34"/>
        <v>0.45</v>
      </c>
    </row>
    <row r="117" spans="1:26" s="8" customFormat="1" ht="16.95" customHeight="1" x14ac:dyDescent="0.3">
      <c r="A117" s="152">
        <f t="shared" si="35"/>
        <v>57.5</v>
      </c>
      <c r="B117" s="7">
        <f t="shared" si="30"/>
        <v>28.5</v>
      </c>
      <c r="C117" s="88">
        <v>29</v>
      </c>
      <c r="D117" s="54" t="s">
        <v>56</v>
      </c>
      <c r="E117" s="37" t="s">
        <v>30</v>
      </c>
      <c r="F117" s="37" t="s">
        <v>219</v>
      </c>
      <c r="G117" s="37" t="s">
        <v>220</v>
      </c>
      <c r="H117" s="37" t="s">
        <v>21</v>
      </c>
      <c r="I117" s="37" t="s">
        <v>429</v>
      </c>
      <c r="J117" s="37" t="s">
        <v>119</v>
      </c>
      <c r="K117" s="37" t="s">
        <v>60</v>
      </c>
      <c r="L117" s="40">
        <v>3216</v>
      </c>
      <c r="M117" s="42">
        <v>44957</v>
      </c>
      <c r="N117" s="105">
        <f t="shared" si="36"/>
        <v>0.33</v>
      </c>
      <c r="O117" s="39">
        <v>2378742</v>
      </c>
      <c r="P117" s="68"/>
      <c r="Q117" s="68"/>
      <c r="R117" s="84">
        <f t="shared" si="37"/>
        <v>2378742</v>
      </c>
      <c r="S117" s="51">
        <f t="shared" si="31"/>
        <v>2378742</v>
      </c>
      <c r="T117" s="37">
        <v>190</v>
      </c>
      <c r="U117" s="29">
        <v>0.55000000000000004</v>
      </c>
      <c r="V117" s="74">
        <v>0</v>
      </c>
      <c r="W117" s="73">
        <v>0</v>
      </c>
      <c r="X117" s="153">
        <f t="shared" si="32"/>
        <v>0</v>
      </c>
      <c r="Y117" s="132">
        <f t="shared" si="33"/>
        <v>0.33</v>
      </c>
      <c r="Z117" s="62">
        <f t="shared" si="34"/>
        <v>0.55000000000000004</v>
      </c>
    </row>
    <row r="118" spans="1:26" s="8" customFormat="1" ht="16.95" customHeight="1" x14ac:dyDescent="0.3">
      <c r="A118" s="152">
        <f t="shared" si="35"/>
        <v>57</v>
      </c>
      <c r="B118" s="7">
        <f t="shared" si="30"/>
        <v>18</v>
      </c>
      <c r="C118" s="88">
        <v>39</v>
      </c>
      <c r="D118" s="54" t="s">
        <v>56</v>
      </c>
      <c r="E118" s="37" t="s">
        <v>281</v>
      </c>
      <c r="F118" s="37" t="s">
        <v>284</v>
      </c>
      <c r="G118" s="37" t="s">
        <v>285</v>
      </c>
      <c r="H118" s="37" t="s">
        <v>16</v>
      </c>
      <c r="I118" s="37" t="s">
        <v>439</v>
      </c>
      <c r="J118" s="37" t="s">
        <v>129</v>
      </c>
      <c r="K118" s="37" t="s">
        <v>17</v>
      </c>
      <c r="L118" s="40">
        <v>7491</v>
      </c>
      <c r="M118" s="42">
        <v>55629</v>
      </c>
      <c r="N118" s="105">
        <f t="shared" si="36"/>
        <v>0.55000000000000004</v>
      </c>
      <c r="O118" s="81">
        <v>731100</v>
      </c>
      <c r="P118" s="68"/>
      <c r="Q118" s="68"/>
      <c r="R118" s="84">
        <f t="shared" si="37"/>
        <v>731100</v>
      </c>
      <c r="S118" s="51">
        <f t="shared" si="31"/>
        <v>731100</v>
      </c>
      <c r="T118" s="37">
        <v>120</v>
      </c>
      <c r="U118" s="29">
        <v>0.3</v>
      </c>
      <c r="V118" s="74">
        <v>0</v>
      </c>
      <c r="W118" s="73">
        <v>0</v>
      </c>
      <c r="X118" s="153">
        <f t="shared" si="32"/>
        <v>0</v>
      </c>
      <c r="Y118" s="132">
        <f t="shared" si="33"/>
        <v>0.55000000000000004</v>
      </c>
      <c r="Z118" s="62">
        <f t="shared" si="34"/>
        <v>0.3</v>
      </c>
    </row>
    <row r="119" spans="1:26" s="8" customFormat="1" ht="16.95" customHeight="1" x14ac:dyDescent="0.3">
      <c r="A119" s="152">
        <f t="shared" si="35"/>
        <v>57</v>
      </c>
      <c r="B119" s="7">
        <f t="shared" si="30"/>
        <v>21</v>
      </c>
      <c r="C119" s="88">
        <v>36</v>
      </c>
      <c r="D119" s="54" t="s">
        <v>56</v>
      </c>
      <c r="E119" s="45" t="s">
        <v>397</v>
      </c>
      <c r="F119" s="37" t="s">
        <v>398</v>
      </c>
      <c r="G119" s="37" t="s">
        <v>399</v>
      </c>
      <c r="H119" s="37" t="s">
        <v>15</v>
      </c>
      <c r="I119" s="37" t="s">
        <v>443</v>
      </c>
      <c r="J119" s="37" t="s">
        <v>119</v>
      </c>
      <c r="K119" s="37" t="s">
        <v>39</v>
      </c>
      <c r="L119" s="38">
        <v>234</v>
      </c>
      <c r="M119" s="39">
        <v>75972</v>
      </c>
      <c r="N119" s="105">
        <f t="shared" si="36"/>
        <v>0.55000000000000004</v>
      </c>
      <c r="O119" s="39">
        <v>547455</v>
      </c>
      <c r="P119" s="68"/>
      <c r="Q119" s="68"/>
      <c r="R119" s="84">
        <f t="shared" si="37"/>
        <v>547455</v>
      </c>
      <c r="S119" s="51">
        <f t="shared" si="31"/>
        <v>547455</v>
      </c>
      <c r="T119" s="37">
        <v>140</v>
      </c>
      <c r="U119" s="29">
        <v>0.4</v>
      </c>
      <c r="V119" s="74">
        <v>0</v>
      </c>
      <c r="W119" s="73">
        <v>0</v>
      </c>
      <c r="X119" s="153">
        <f t="shared" si="32"/>
        <v>0</v>
      </c>
      <c r="Y119" s="132">
        <f t="shared" si="33"/>
        <v>0.55000000000000004</v>
      </c>
      <c r="Z119" s="62">
        <f t="shared" si="34"/>
        <v>0.4</v>
      </c>
    </row>
    <row r="120" spans="1:26" s="8" customFormat="1" ht="16.95" customHeight="1" x14ac:dyDescent="0.3">
      <c r="A120" s="152">
        <f t="shared" si="35"/>
        <v>56</v>
      </c>
      <c r="B120" s="7">
        <f t="shared" si="30"/>
        <v>27</v>
      </c>
      <c r="C120" s="88">
        <v>29</v>
      </c>
      <c r="D120" s="54" t="s">
        <v>56</v>
      </c>
      <c r="E120" s="37" t="s">
        <v>324</v>
      </c>
      <c r="F120" s="37" t="s">
        <v>325</v>
      </c>
      <c r="G120" s="37" t="s">
        <v>326</v>
      </c>
      <c r="H120" s="37" t="s">
        <v>21</v>
      </c>
      <c r="I120" s="37" t="s">
        <v>434</v>
      </c>
      <c r="J120" s="37" t="s">
        <v>40</v>
      </c>
      <c r="K120" s="37" t="s">
        <v>60</v>
      </c>
      <c r="L120" s="40">
        <v>921</v>
      </c>
      <c r="M120" s="42">
        <v>50600</v>
      </c>
      <c r="N120" s="105">
        <f t="shared" si="36"/>
        <v>0.33</v>
      </c>
      <c r="O120" s="39">
        <v>754500</v>
      </c>
      <c r="P120" s="68"/>
      <c r="Q120" s="68"/>
      <c r="R120" s="84">
        <f t="shared" si="37"/>
        <v>754500</v>
      </c>
      <c r="S120" s="51">
        <f t="shared" si="31"/>
        <v>754500</v>
      </c>
      <c r="T120" s="37">
        <v>180</v>
      </c>
      <c r="U120" s="29">
        <v>0.5</v>
      </c>
      <c r="V120" s="74">
        <v>0</v>
      </c>
      <c r="W120" s="73">
        <v>0</v>
      </c>
      <c r="X120" s="153">
        <f t="shared" si="32"/>
        <v>0</v>
      </c>
      <c r="Y120" s="132">
        <f t="shared" si="33"/>
        <v>0.33</v>
      </c>
      <c r="Z120" s="62">
        <f t="shared" si="34"/>
        <v>0.5</v>
      </c>
    </row>
    <row r="121" spans="1:26" s="8" customFormat="1" ht="16.95" customHeight="1" x14ac:dyDescent="0.3">
      <c r="A121" s="152">
        <f t="shared" si="35"/>
        <v>55.75</v>
      </c>
      <c r="B121" s="7">
        <f t="shared" si="30"/>
        <v>27.75</v>
      </c>
      <c r="C121" s="88">
        <v>28</v>
      </c>
      <c r="D121" s="54" t="s">
        <v>56</v>
      </c>
      <c r="E121" s="37" t="s">
        <v>83</v>
      </c>
      <c r="F121" s="37" t="s">
        <v>84</v>
      </c>
      <c r="G121" s="37" t="s">
        <v>85</v>
      </c>
      <c r="H121" s="37" t="s">
        <v>12</v>
      </c>
      <c r="I121" s="37" t="s">
        <v>413</v>
      </c>
      <c r="J121" s="92" t="s">
        <v>14</v>
      </c>
      <c r="K121" s="37" t="s">
        <v>13</v>
      </c>
      <c r="L121" s="38">
        <v>1549</v>
      </c>
      <c r="M121" s="39">
        <v>45811</v>
      </c>
      <c r="N121" s="105">
        <f t="shared" si="36"/>
        <v>0.33</v>
      </c>
      <c r="O121" s="39">
        <v>870585</v>
      </c>
      <c r="P121" s="68"/>
      <c r="Q121" s="68"/>
      <c r="R121" s="84">
        <f t="shared" si="37"/>
        <v>870585</v>
      </c>
      <c r="S121" s="51">
        <f t="shared" si="31"/>
        <v>870585</v>
      </c>
      <c r="T121" s="37">
        <v>185</v>
      </c>
      <c r="U121" s="29">
        <v>0.55000000000000004</v>
      </c>
      <c r="V121" s="74">
        <v>0</v>
      </c>
      <c r="W121" s="73">
        <v>0</v>
      </c>
      <c r="X121" s="153">
        <f t="shared" si="32"/>
        <v>0</v>
      </c>
      <c r="Y121" s="132">
        <f t="shared" si="33"/>
        <v>0.33</v>
      </c>
      <c r="Z121" s="62">
        <f t="shared" si="34"/>
        <v>0.55000000000000004</v>
      </c>
    </row>
    <row r="122" spans="1:26" s="8" customFormat="1" ht="16.95" customHeight="1" x14ac:dyDescent="0.3">
      <c r="A122" s="152">
        <f t="shared" si="35"/>
        <v>55</v>
      </c>
      <c r="B122" s="7">
        <f t="shared" si="30"/>
        <v>9</v>
      </c>
      <c r="C122" s="88">
        <v>46</v>
      </c>
      <c r="D122" s="54" t="s">
        <v>56</v>
      </c>
      <c r="E122" s="37" t="s">
        <v>86</v>
      </c>
      <c r="F122" s="37" t="s">
        <v>87</v>
      </c>
      <c r="G122" s="37" t="s">
        <v>88</v>
      </c>
      <c r="H122" s="37" t="s">
        <v>12</v>
      </c>
      <c r="I122" s="37" t="s">
        <v>414</v>
      </c>
      <c r="J122" s="37" t="s">
        <v>89</v>
      </c>
      <c r="K122" s="37" t="s">
        <v>13</v>
      </c>
      <c r="L122" s="38">
        <v>4356</v>
      </c>
      <c r="M122" s="39">
        <v>72832</v>
      </c>
      <c r="N122" s="105">
        <f t="shared" si="36"/>
        <v>0.55000000000000004</v>
      </c>
      <c r="O122" s="39">
        <v>608692</v>
      </c>
      <c r="P122" s="68"/>
      <c r="Q122" s="68"/>
      <c r="R122" s="84">
        <f t="shared" si="37"/>
        <v>608692</v>
      </c>
      <c r="S122" s="51">
        <f t="shared" si="31"/>
        <v>608692</v>
      </c>
      <c r="T122" s="37">
        <v>60</v>
      </c>
      <c r="U122" s="29">
        <v>0.1</v>
      </c>
      <c r="V122" s="74">
        <v>0</v>
      </c>
      <c r="W122" s="73">
        <v>0</v>
      </c>
      <c r="X122" s="153">
        <f t="shared" si="32"/>
        <v>0</v>
      </c>
      <c r="Y122" s="132">
        <f t="shared" si="33"/>
        <v>0.55000000000000004</v>
      </c>
      <c r="Z122" s="62">
        <f t="shared" si="34"/>
        <v>0.1</v>
      </c>
    </row>
    <row r="123" spans="1:26" s="8" customFormat="1" ht="16.95" customHeight="1" x14ac:dyDescent="0.3">
      <c r="A123" s="152">
        <f t="shared" si="35"/>
        <v>55</v>
      </c>
      <c r="B123" s="7">
        <f t="shared" si="30"/>
        <v>9</v>
      </c>
      <c r="C123" s="88">
        <v>46</v>
      </c>
      <c r="D123" s="54" t="s">
        <v>56</v>
      </c>
      <c r="E123" s="37" t="s">
        <v>305</v>
      </c>
      <c r="F123" s="37" t="s">
        <v>455</v>
      </c>
      <c r="G123" s="37" t="s">
        <v>454</v>
      </c>
      <c r="H123" s="37" t="s">
        <v>15</v>
      </c>
      <c r="I123" s="37" t="s">
        <v>416</v>
      </c>
      <c r="J123" s="37" t="s">
        <v>23</v>
      </c>
      <c r="K123" s="37" t="s">
        <v>39</v>
      </c>
      <c r="L123" s="38">
        <v>4458</v>
      </c>
      <c r="M123" s="39">
        <v>73441</v>
      </c>
      <c r="N123" s="105">
        <f t="shared" si="36"/>
        <v>0.55000000000000004</v>
      </c>
      <c r="O123" s="39">
        <v>2687500</v>
      </c>
      <c r="P123" s="68"/>
      <c r="Q123" s="68"/>
      <c r="R123" s="84">
        <f t="shared" si="37"/>
        <v>2687500</v>
      </c>
      <c r="S123" s="51">
        <f t="shared" si="31"/>
        <v>2687500</v>
      </c>
      <c r="T123" s="37">
        <v>60</v>
      </c>
      <c r="U123" s="29">
        <v>0.1</v>
      </c>
      <c r="V123" s="74">
        <v>0</v>
      </c>
      <c r="W123" s="73">
        <v>0</v>
      </c>
      <c r="X123" s="153">
        <f t="shared" si="32"/>
        <v>0</v>
      </c>
      <c r="Y123" s="132">
        <f t="shared" si="33"/>
        <v>0.55000000000000004</v>
      </c>
      <c r="Z123" s="62">
        <f t="shared" si="34"/>
        <v>0.1</v>
      </c>
    </row>
    <row r="124" spans="1:26" s="8" customFormat="1" ht="16.95" customHeight="1" x14ac:dyDescent="0.3">
      <c r="A124" s="152">
        <f t="shared" si="35"/>
        <v>54</v>
      </c>
      <c r="B124" s="7">
        <f t="shared" si="30"/>
        <v>12</v>
      </c>
      <c r="C124" s="88">
        <v>42</v>
      </c>
      <c r="D124" s="54" t="s">
        <v>56</v>
      </c>
      <c r="E124" s="37" t="s">
        <v>261</v>
      </c>
      <c r="F124" s="37" t="s">
        <v>264</v>
      </c>
      <c r="G124" s="37" t="s">
        <v>265</v>
      </c>
      <c r="H124" s="37" t="s">
        <v>15</v>
      </c>
      <c r="I124" s="37" t="s">
        <v>435</v>
      </c>
      <c r="J124" s="37" t="s">
        <v>75</v>
      </c>
      <c r="K124" s="37" t="s">
        <v>39</v>
      </c>
      <c r="L124" s="40">
        <v>1195</v>
      </c>
      <c r="M124" s="42">
        <v>68519</v>
      </c>
      <c r="N124" s="105">
        <f t="shared" si="36"/>
        <v>0.55000000000000004</v>
      </c>
      <c r="O124" s="39">
        <v>2792001</v>
      </c>
      <c r="P124" s="68"/>
      <c r="Q124" s="68"/>
      <c r="R124" s="84">
        <f t="shared" si="37"/>
        <v>2792001</v>
      </c>
      <c r="S124" s="51">
        <f t="shared" si="31"/>
        <v>2792001</v>
      </c>
      <c r="T124" s="37">
        <v>80</v>
      </c>
      <c r="U124" s="29">
        <v>0.2</v>
      </c>
      <c r="V124" s="74">
        <v>0</v>
      </c>
      <c r="W124" s="73">
        <v>0</v>
      </c>
      <c r="X124" s="153">
        <f t="shared" si="32"/>
        <v>0</v>
      </c>
      <c r="Y124" s="132">
        <f t="shared" si="33"/>
        <v>0.55000000000000004</v>
      </c>
      <c r="Z124" s="62">
        <f t="shared" si="34"/>
        <v>0.2</v>
      </c>
    </row>
    <row r="125" spans="1:26" s="8" customFormat="1" ht="16.95" customHeight="1" x14ac:dyDescent="0.3">
      <c r="A125" s="152">
        <f t="shared" si="35"/>
        <v>53.75</v>
      </c>
      <c r="B125" s="7">
        <f t="shared" si="30"/>
        <v>3.75</v>
      </c>
      <c r="C125" s="88">
        <v>50</v>
      </c>
      <c r="D125" s="54" t="s">
        <v>56</v>
      </c>
      <c r="E125" s="37" t="s">
        <v>589</v>
      </c>
      <c r="F125" s="92" t="s">
        <v>167</v>
      </c>
      <c r="G125" s="92" t="s">
        <v>168</v>
      </c>
      <c r="H125" s="37" t="s">
        <v>19</v>
      </c>
      <c r="I125" s="37" t="s">
        <v>427</v>
      </c>
      <c r="J125" s="37" t="s">
        <v>42</v>
      </c>
      <c r="K125" s="37" t="s">
        <v>38</v>
      </c>
      <c r="L125" s="40">
        <v>10317</v>
      </c>
      <c r="M125" s="42">
        <v>68339</v>
      </c>
      <c r="N125" s="105">
        <f t="shared" si="36"/>
        <v>0.55000000000000004</v>
      </c>
      <c r="O125" s="39">
        <v>1917002</v>
      </c>
      <c r="P125" s="68"/>
      <c r="Q125" s="68"/>
      <c r="R125" s="84">
        <f t="shared" si="37"/>
        <v>1917002</v>
      </c>
      <c r="S125" s="51">
        <f t="shared" si="31"/>
        <v>1917002</v>
      </c>
      <c r="T125" s="37">
        <v>25</v>
      </c>
      <c r="U125" s="29">
        <v>0</v>
      </c>
      <c r="V125" s="74">
        <v>0</v>
      </c>
      <c r="W125" s="73">
        <v>0</v>
      </c>
      <c r="X125" s="153">
        <f t="shared" si="32"/>
        <v>0</v>
      </c>
      <c r="Y125" s="132">
        <f t="shared" si="33"/>
        <v>0.55000000000000004</v>
      </c>
      <c r="Z125" s="62">
        <f t="shared" si="34"/>
        <v>0</v>
      </c>
    </row>
    <row r="126" spans="1:26" s="8" customFormat="1" ht="16.95" customHeight="1" x14ac:dyDescent="0.3">
      <c r="A126" s="152">
        <f t="shared" si="35"/>
        <v>53.75</v>
      </c>
      <c r="B126" s="7">
        <f t="shared" si="30"/>
        <v>3.75</v>
      </c>
      <c r="C126" s="88">
        <v>50</v>
      </c>
      <c r="D126" s="54" t="s">
        <v>56</v>
      </c>
      <c r="E126" s="37" t="s">
        <v>459</v>
      </c>
      <c r="F126" s="37" t="s">
        <v>452</v>
      </c>
      <c r="G126" s="37" t="s">
        <v>453</v>
      </c>
      <c r="H126" s="37" t="s">
        <v>15</v>
      </c>
      <c r="I126" s="37" t="s">
        <v>51</v>
      </c>
      <c r="J126" s="37" t="s">
        <v>22</v>
      </c>
      <c r="K126" s="37" t="s">
        <v>39</v>
      </c>
      <c r="L126" s="38">
        <v>279012</v>
      </c>
      <c r="M126" s="39">
        <v>70466</v>
      </c>
      <c r="N126" s="105">
        <f t="shared" si="36"/>
        <v>0.55000000000000004</v>
      </c>
      <c r="O126" s="39">
        <v>9086254</v>
      </c>
      <c r="P126" s="68"/>
      <c r="Q126" s="68"/>
      <c r="R126" s="84">
        <f t="shared" si="37"/>
        <v>9086254</v>
      </c>
      <c r="S126" s="51">
        <f t="shared" si="31"/>
        <v>9086254</v>
      </c>
      <c r="T126" s="37">
        <v>25</v>
      </c>
      <c r="U126" s="29">
        <v>0</v>
      </c>
      <c r="V126" s="74">
        <v>0</v>
      </c>
      <c r="W126" s="73">
        <v>0</v>
      </c>
      <c r="X126" s="153">
        <f t="shared" si="32"/>
        <v>0</v>
      </c>
      <c r="Y126" s="132">
        <f t="shared" si="33"/>
        <v>0.55000000000000004</v>
      </c>
      <c r="Z126" s="62">
        <f t="shared" si="34"/>
        <v>0</v>
      </c>
    </row>
    <row r="127" spans="1:26" s="8" customFormat="1" ht="16.95" customHeight="1" x14ac:dyDescent="0.3">
      <c r="A127" s="152">
        <f t="shared" si="35"/>
        <v>53.5</v>
      </c>
      <c r="B127" s="7">
        <f t="shared" si="30"/>
        <v>19.5</v>
      </c>
      <c r="C127" s="88">
        <v>34</v>
      </c>
      <c r="D127" s="54" t="s">
        <v>56</v>
      </c>
      <c r="E127" s="37" t="s">
        <v>156</v>
      </c>
      <c r="F127" s="37" t="s">
        <v>157</v>
      </c>
      <c r="G127" s="37" t="s">
        <v>158</v>
      </c>
      <c r="H127" s="37" t="s">
        <v>12</v>
      </c>
      <c r="I127" s="37" t="s">
        <v>426</v>
      </c>
      <c r="J127" s="37" t="s">
        <v>113</v>
      </c>
      <c r="K127" s="37" t="s">
        <v>60</v>
      </c>
      <c r="L127" s="40">
        <v>1450</v>
      </c>
      <c r="M127" s="42">
        <v>52399</v>
      </c>
      <c r="N127" s="105">
        <f t="shared" si="36"/>
        <v>0.33</v>
      </c>
      <c r="O127" s="39">
        <v>643750</v>
      </c>
      <c r="P127" s="68"/>
      <c r="Q127" s="68"/>
      <c r="R127" s="84">
        <f t="shared" si="37"/>
        <v>643750</v>
      </c>
      <c r="S127" s="51">
        <f t="shared" si="31"/>
        <v>643750</v>
      </c>
      <c r="T127" s="37">
        <v>130</v>
      </c>
      <c r="U127" s="29">
        <v>0.35</v>
      </c>
      <c r="V127" s="74">
        <v>0</v>
      </c>
      <c r="W127" s="73">
        <v>0</v>
      </c>
      <c r="X127" s="153">
        <f t="shared" si="32"/>
        <v>0</v>
      </c>
      <c r="Y127" s="132">
        <f t="shared" si="33"/>
        <v>0.33</v>
      </c>
      <c r="Z127" s="62">
        <f t="shared" si="34"/>
        <v>0.35</v>
      </c>
    </row>
    <row r="128" spans="1:26" s="8" customFormat="1" ht="16.95" customHeight="1" x14ac:dyDescent="0.3">
      <c r="A128" s="152">
        <f t="shared" si="35"/>
        <v>53.5</v>
      </c>
      <c r="B128" s="7">
        <f t="shared" si="30"/>
        <v>16.5</v>
      </c>
      <c r="C128" s="88">
        <v>37</v>
      </c>
      <c r="D128" s="54" t="s">
        <v>56</v>
      </c>
      <c r="E128" s="37" t="s">
        <v>258</v>
      </c>
      <c r="F128" s="37" t="s">
        <v>259</v>
      </c>
      <c r="G128" s="37" t="s">
        <v>260</v>
      </c>
      <c r="H128" s="37" t="s">
        <v>15</v>
      </c>
      <c r="I128" s="37" t="s">
        <v>422</v>
      </c>
      <c r="J128" s="37" t="s">
        <v>25</v>
      </c>
      <c r="K128" s="37" t="s">
        <v>39</v>
      </c>
      <c r="L128" s="40">
        <v>701</v>
      </c>
      <c r="M128" s="42">
        <v>59063</v>
      </c>
      <c r="N128" s="105">
        <f t="shared" si="36"/>
        <v>0.55000000000000004</v>
      </c>
      <c r="O128" s="39">
        <v>796867</v>
      </c>
      <c r="P128" s="68"/>
      <c r="Q128" s="68"/>
      <c r="R128" s="84">
        <f t="shared" si="37"/>
        <v>796867</v>
      </c>
      <c r="S128" s="51">
        <f t="shared" si="31"/>
        <v>796867</v>
      </c>
      <c r="T128" s="37">
        <v>110</v>
      </c>
      <c r="U128" s="29">
        <v>0.3</v>
      </c>
      <c r="V128" s="74">
        <v>0</v>
      </c>
      <c r="W128" s="73">
        <v>0</v>
      </c>
      <c r="X128" s="153">
        <f t="shared" si="32"/>
        <v>0</v>
      </c>
      <c r="Y128" s="132">
        <f t="shared" si="33"/>
        <v>0.55000000000000004</v>
      </c>
      <c r="Z128" s="62">
        <f t="shared" si="34"/>
        <v>0.3</v>
      </c>
    </row>
    <row r="129" spans="1:26" s="8" customFormat="1" ht="16.95" customHeight="1" x14ac:dyDescent="0.3">
      <c r="A129" s="152">
        <f t="shared" si="35"/>
        <v>53.25</v>
      </c>
      <c r="B129" s="7">
        <f t="shared" si="30"/>
        <v>8.25</v>
      </c>
      <c r="C129" s="88">
        <v>45</v>
      </c>
      <c r="D129" s="54" t="s">
        <v>68</v>
      </c>
      <c r="E129" s="37" t="s">
        <v>466</v>
      </c>
      <c r="F129" s="37" t="s">
        <v>194</v>
      </c>
      <c r="G129" s="37" t="s">
        <v>598</v>
      </c>
      <c r="H129" s="37" t="s">
        <v>15</v>
      </c>
      <c r="I129" s="37" t="s">
        <v>402</v>
      </c>
      <c r="J129" s="37" t="s">
        <v>101</v>
      </c>
      <c r="K129" s="37" t="s">
        <v>39</v>
      </c>
      <c r="L129" s="40">
        <v>66206</v>
      </c>
      <c r="M129" s="42">
        <v>63259</v>
      </c>
      <c r="N129" s="317" t="s">
        <v>456</v>
      </c>
      <c r="O129" s="39">
        <v>1100000</v>
      </c>
      <c r="P129" s="68"/>
      <c r="Q129" s="68">
        <v>1100000</v>
      </c>
      <c r="R129" s="84">
        <f t="shared" si="37"/>
        <v>0</v>
      </c>
      <c r="S129" s="51">
        <f t="shared" si="31"/>
        <v>275000</v>
      </c>
      <c r="T129" s="37">
        <v>55</v>
      </c>
      <c r="U129" s="29">
        <v>0</v>
      </c>
      <c r="V129" s="74">
        <v>825000</v>
      </c>
      <c r="W129" s="73">
        <v>0</v>
      </c>
      <c r="X129" s="153">
        <f t="shared" si="32"/>
        <v>825000</v>
      </c>
      <c r="Y129" s="132">
        <f t="shared" si="33"/>
        <v>0.55000000000000004</v>
      </c>
      <c r="Z129" s="62">
        <f t="shared" si="34"/>
        <v>0</v>
      </c>
    </row>
    <row r="130" spans="1:26" s="8" customFormat="1" ht="16.95" customHeight="1" x14ac:dyDescent="0.3">
      <c r="A130" s="152">
        <f t="shared" si="35"/>
        <v>53</v>
      </c>
      <c r="B130" s="31">
        <f t="shared" si="30"/>
        <v>21</v>
      </c>
      <c r="C130" s="31">
        <v>32</v>
      </c>
      <c r="D130" s="94" t="s">
        <v>56</v>
      </c>
      <c r="E130" s="94" t="s">
        <v>57</v>
      </c>
      <c r="F130" s="95" t="s">
        <v>58</v>
      </c>
      <c r="G130" s="95" t="s">
        <v>59</v>
      </c>
      <c r="H130" s="95" t="s">
        <v>12</v>
      </c>
      <c r="I130" s="96" t="s">
        <v>407</v>
      </c>
      <c r="J130" s="95" t="s">
        <v>18</v>
      </c>
      <c r="K130" s="95" t="s">
        <v>60</v>
      </c>
      <c r="L130" s="97">
        <v>1121</v>
      </c>
      <c r="M130" s="98">
        <v>51902</v>
      </c>
      <c r="N130" s="105">
        <f t="shared" ref="N130:N143" si="38">Y130</f>
        <v>0.33</v>
      </c>
      <c r="O130" s="98">
        <v>251800</v>
      </c>
      <c r="P130" s="99"/>
      <c r="Q130" s="99"/>
      <c r="R130" s="84">
        <f t="shared" si="37"/>
        <v>251800</v>
      </c>
      <c r="S130" s="51">
        <f t="shared" si="31"/>
        <v>251800</v>
      </c>
      <c r="T130" s="95">
        <v>140</v>
      </c>
      <c r="U130" s="32">
        <v>0.4</v>
      </c>
      <c r="V130" s="80">
        <v>0</v>
      </c>
      <c r="W130" s="73">
        <v>0</v>
      </c>
      <c r="X130" s="153">
        <f t="shared" si="32"/>
        <v>0</v>
      </c>
      <c r="Y130" s="132">
        <f t="shared" si="33"/>
        <v>0.33</v>
      </c>
      <c r="Z130" s="62">
        <f t="shared" si="34"/>
        <v>0.4</v>
      </c>
    </row>
    <row r="131" spans="1:26" s="8" customFormat="1" ht="16.95" customHeight="1" x14ac:dyDescent="0.3">
      <c r="A131" s="152">
        <f t="shared" si="35"/>
        <v>52.5</v>
      </c>
      <c r="B131" s="7">
        <f t="shared" si="30"/>
        <v>28.5</v>
      </c>
      <c r="C131" s="88">
        <v>24</v>
      </c>
      <c r="D131" s="54" t="s">
        <v>56</v>
      </c>
      <c r="E131" s="37" t="s">
        <v>30</v>
      </c>
      <c r="F131" s="37" t="s">
        <v>217</v>
      </c>
      <c r="G131" s="37" t="s">
        <v>218</v>
      </c>
      <c r="H131" s="37" t="s">
        <v>21</v>
      </c>
      <c r="I131" s="37" t="s">
        <v>429</v>
      </c>
      <c r="J131" s="37" t="s">
        <v>119</v>
      </c>
      <c r="K131" s="37" t="s">
        <v>60</v>
      </c>
      <c r="L131" s="40">
        <v>3216</v>
      </c>
      <c r="M131" s="42">
        <v>44957</v>
      </c>
      <c r="N131" s="105">
        <f t="shared" si="38"/>
        <v>0.33</v>
      </c>
      <c r="O131" s="39">
        <v>613484</v>
      </c>
      <c r="P131" s="68"/>
      <c r="Q131" s="68"/>
      <c r="R131" s="84">
        <f t="shared" si="37"/>
        <v>613484</v>
      </c>
      <c r="S131" s="51">
        <f t="shared" si="31"/>
        <v>613484</v>
      </c>
      <c r="T131" s="37">
        <v>190</v>
      </c>
      <c r="U131" s="29">
        <v>0.55000000000000004</v>
      </c>
      <c r="V131" s="74">
        <v>0</v>
      </c>
      <c r="W131" s="73">
        <v>0</v>
      </c>
      <c r="X131" s="153">
        <f t="shared" si="32"/>
        <v>0</v>
      </c>
      <c r="Y131" s="132">
        <f t="shared" si="33"/>
        <v>0.33</v>
      </c>
      <c r="Z131" s="62">
        <f t="shared" si="34"/>
        <v>0.55000000000000004</v>
      </c>
    </row>
    <row r="132" spans="1:26" s="8" customFormat="1" ht="16.95" customHeight="1" x14ac:dyDescent="0.3">
      <c r="A132" s="152">
        <f t="shared" si="35"/>
        <v>52.5</v>
      </c>
      <c r="B132" s="7">
        <f t="shared" si="30"/>
        <v>10.5</v>
      </c>
      <c r="C132" s="88">
        <v>42</v>
      </c>
      <c r="D132" s="54" t="s">
        <v>56</v>
      </c>
      <c r="E132" s="37" t="s">
        <v>288</v>
      </c>
      <c r="F132" s="37" t="s">
        <v>290</v>
      </c>
      <c r="G132" s="37" t="s">
        <v>291</v>
      </c>
      <c r="H132" s="37" t="s">
        <v>16</v>
      </c>
      <c r="I132" s="37" t="s">
        <v>411</v>
      </c>
      <c r="J132" s="37" t="s">
        <v>75</v>
      </c>
      <c r="K132" s="37" t="s">
        <v>17</v>
      </c>
      <c r="L132" s="40">
        <v>3644</v>
      </c>
      <c r="M132" s="42">
        <v>58090</v>
      </c>
      <c r="N132" s="105">
        <f t="shared" si="38"/>
        <v>0.55000000000000004</v>
      </c>
      <c r="O132" s="39">
        <v>1000888</v>
      </c>
      <c r="P132" s="68"/>
      <c r="Q132" s="68"/>
      <c r="R132" s="84">
        <f t="shared" si="37"/>
        <v>1000888</v>
      </c>
      <c r="S132" s="51">
        <f t="shared" si="31"/>
        <v>1000888</v>
      </c>
      <c r="T132" s="37">
        <v>70</v>
      </c>
      <c r="U132" s="29">
        <v>0.15</v>
      </c>
      <c r="V132" s="74">
        <v>0</v>
      </c>
      <c r="W132" s="73">
        <v>0</v>
      </c>
      <c r="X132" s="153">
        <f t="shared" si="32"/>
        <v>0</v>
      </c>
      <c r="Y132" s="132">
        <f t="shared" si="33"/>
        <v>0.55000000000000004</v>
      </c>
      <c r="Z132" s="62">
        <f t="shared" si="34"/>
        <v>0.15</v>
      </c>
    </row>
    <row r="133" spans="1:26" s="8" customFormat="1" ht="16.95" customHeight="1" x14ac:dyDescent="0.3">
      <c r="A133" s="152">
        <f t="shared" si="35"/>
        <v>51.75</v>
      </c>
      <c r="B133" s="7">
        <f t="shared" ref="B133:B166" si="39">T133*0.15</f>
        <v>27.75</v>
      </c>
      <c r="C133" s="7">
        <v>24</v>
      </c>
      <c r="D133" s="92" t="s">
        <v>56</v>
      </c>
      <c r="E133" s="37" t="s">
        <v>83</v>
      </c>
      <c r="F133" s="37" t="s">
        <v>584</v>
      </c>
      <c r="G133" s="37" t="s">
        <v>585</v>
      </c>
      <c r="H133" s="37" t="s">
        <v>12</v>
      </c>
      <c r="I133" s="37" t="s">
        <v>413</v>
      </c>
      <c r="J133" s="92" t="s">
        <v>14</v>
      </c>
      <c r="K133" s="37" t="s">
        <v>13</v>
      </c>
      <c r="L133" s="38">
        <v>1549</v>
      </c>
      <c r="M133" s="39">
        <v>45811</v>
      </c>
      <c r="N133" s="105">
        <f t="shared" si="38"/>
        <v>0.33</v>
      </c>
      <c r="O133" s="39">
        <v>870585</v>
      </c>
      <c r="P133" s="68"/>
      <c r="Q133" s="68"/>
      <c r="R133" s="84">
        <f t="shared" si="37"/>
        <v>870585</v>
      </c>
      <c r="S133" s="51">
        <f t="shared" ref="S133:S166" si="40">O133-X133</f>
        <v>870585</v>
      </c>
      <c r="T133" s="37">
        <v>185</v>
      </c>
      <c r="U133" s="29">
        <v>0.55000000000000004</v>
      </c>
      <c r="V133" s="74">
        <v>0</v>
      </c>
      <c r="W133" s="73">
        <v>0</v>
      </c>
      <c r="X133" s="153">
        <f t="shared" ref="X133:X164" si="41">V133+W133</f>
        <v>0</v>
      </c>
      <c r="Y133" s="132">
        <f t="shared" ref="Y133:Y166" si="42">IF(AND(L133&lt;10000,M133&lt;53664),33%,55%)</f>
        <v>0.33</v>
      </c>
      <c r="Z133" s="62">
        <f t="shared" ref="Z133:Z166" si="43">IF(T133&gt;=250,0.65,IF(T133&gt;=200,0.6,IF(T133&gt;=185,0.55,IF(T133&gt;=170,0.5,IF(T133&gt;=155,0.45,IF(T133&gt;=140,0.4,IF(T133&gt;=125,0.35,IF(T133&gt;=110,0.3,IF(T133&gt;=95,0.25,IF(T133&gt;=80,0.2,IF(T133&gt;=70,0.15,IF(T133&gt;=60,0.1,IF(T133&lt;60,0)))))))))))))</f>
        <v>0.55000000000000004</v>
      </c>
    </row>
    <row r="134" spans="1:26" s="8" customFormat="1" ht="16.95" customHeight="1" x14ac:dyDescent="0.3">
      <c r="A134" s="152">
        <f t="shared" si="35"/>
        <v>51.5</v>
      </c>
      <c r="B134" s="7">
        <f t="shared" si="39"/>
        <v>19.5</v>
      </c>
      <c r="C134" s="88">
        <v>32</v>
      </c>
      <c r="D134" s="54" t="s">
        <v>56</v>
      </c>
      <c r="E134" s="37" t="s">
        <v>126</v>
      </c>
      <c r="F134" s="37" t="s">
        <v>127</v>
      </c>
      <c r="G134" s="37" t="s">
        <v>128</v>
      </c>
      <c r="H134" s="37" t="s">
        <v>15</v>
      </c>
      <c r="I134" s="37" t="s">
        <v>422</v>
      </c>
      <c r="J134" s="37" t="s">
        <v>129</v>
      </c>
      <c r="K134" s="37" t="s">
        <v>39</v>
      </c>
      <c r="L134" s="40">
        <v>743</v>
      </c>
      <c r="M134" s="42">
        <v>57875</v>
      </c>
      <c r="N134" s="105">
        <f t="shared" si="38"/>
        <v>0.55000000000000004</v>
      </c>
      <c r="O134" s="39">
        <v>2438400</v>
      </c>
      <c r="P134" s="68"/>
      <c r="Q134" s="68"/>
      <c r="R134" s="84">
        <f t="shared" si="37"/>
        <v>2438400</v>
      </c>
      <c r="S134" s="51">
        <f t="shared" si="40"/>
        <v>2438400</v>
      </c>
      <c r="T134" s="37">
        <v>130</v>
      </c>
      <c r="U134" s="29">
        <v>0.35</v>
      </c>
      <c r="V134" s="74">
        <v>0</v>
      </c>
      <c r="W134" s="73">
        <v>0</v>
      </c>
      <c r="X134" s="153">
        <f t="shared" si="41"/>
        <v>0</v>
      </c>
      <c r="Y134" s="132">
        <f t="shared" si="42"/>
        <v>0.55000000000000004</v>
      </c>
      <c r="Z134" s="62">
        <f t="shared" si="43"/>
        <v>0.35</v>
      </c>
    </row>
    <row r="135" spans="1:26" s="8" customFormat="1" ht="16.95" customHeight="1" x14ac:dyDescent="0.3">
      <c r="A135" s="152">
        <f t="shared" si="35"/>
        <v>51.5</v>
      </c>
      <c r="B135" s="7">
        <f t="shared" si="39"/>
        <v>19.5</v>
      </c>
      <c r="C135" s="88">
        <v>32</v>
      </c>
      <c r="D135" s="54" t="s">
        <v>56</v>
      </c>
      <c r="E135" s="37" t="s">
        <v>149</v>
      </c>
      <c r="F135" s="37" t="s">
        <v>150</v>
      </c>
      <c r="G135" s="37" t="s">
        <v>151</v>
      </c>
      <c r="H135" s="37" t="s">
        <v>15</v>
      </c>
      <c r="I135" s="37" t="s">
        <v>422</v>
      </c>
      <c r="J135" s="37" t="s">
        <v>75</v>
      </c>
      <c r="K135" s="37" t="s">
        <v>39</v>
      </c>
      <c r="L135" s="40">
        <v>1067</v>
      </c>
      <c r="M135" s="42">
        <v>57500</v>
      </c>
      <c r="N135" s="105">
        <f t="shared" si="38"/>
        <v>0.55000000000000004</v>
      </c>
      <c r="O135" s="39">
        <v>384197</v>
      </c>
      <c r="P135" s="68"/>
      <c r="Q135" s="68"/>
      <c r="R135" s="84">
        <f t="shared" si="37"/>
        <v>384197</v>
      </c>
      <c r="S135" s="51">
        <f t="shared" si="40"/>
        <v>384197</v>
      </c>
      <c r="T135" s="37">
        <v>130</v>
      </c>
      <c r="U135" s="29">
        <v>0.35</v>
      </c>
      <c r="V135" s="74">
        <v>0</v>
      </c>
      <c r="W135" s="73">
        <v>0</v>
      </c>
      <c r="X135" s="153">
        <f t="shared" si="41"/>
        <v>0</v>
      </c>
      <c r="Y135" s="132">
        <f t="shared" si="42"/>
        <v>0.55000000000000004</v>
      </c>
      <c r="Z135" s="62">
        <f t="shared" si="43"/>
        <v>0.35</v>
      </c>
    </row>
    <row r="136" spans="1:26" s="8" customFormat="1" ht="16.95" customHeight="1" x14ac:dyDescent="0.3">
      <c r="A136" s="152">
        <f t="shared" si="35"/>
        <v>51</v>
      </c>
      <c r="B136" s="7">
        <f t="shared" si="39"/>
        <v>9</v>
      </c>
      <c r="C136" s="88">
        <v>42</v>
      </c>
      <c r="D136" s="54" t="s">
        <v>56</v>
      </c>
      <c r="E136" s="37" t="s">
        <v>208</v>
      </c>
      <c r="F136" s="37" t="s">
        <v>209</v>
      </c>
      <c r="G136" s="37" t="s">
        <v>210</v>
      </c>
      <c r="H136" s="37" t="s">
        <v>19</v>
      </c>
      <c r="I136" s="37" t="s">
        <v>431</v>
      </c>
      <c r="J136" s="37" t="s">
        <v>42</v>
      </c>
      <c r="K136" s="37" t="s">
        <v>38</v>
      </c>
      <c r="L136" s="40">
        <v>4371</v>
      </c>
      <c r="M136" s="42">
        <v>66609</v>
      </c>
      <c r="N136" s="105">
        <f t="shared" si="38"/>
        <v>0.55000000000000004</v>
      </c>
      <c r="O136" s="39">
        <v>2747640</v>
      </c>
      <c r="P136" s="68"/>
      <c r="Q136" s="68"/>
      <c r="R136" s="84">
        <f t="shared" si="37"/>
        <v>2747640</v>
      </c>
      <c r="S136" s="51">
        <f t="shared" si="40"/>
        <v>2747640</v>
      </c>
      <c r="T136" s="37">
        <v>60</v>
      </c>
      <c r="U136" s="29">
        <v>0.1</v>
      </c>
      <c r="V136" s="74">
        <v>0</v>
      </c>
      <c r="W136" s="73">
        <v>0</v>
      </c>
      <c r="X136" s="153">
        <f t="shared" si="41"/>
        <v>0</v>
      </c>
      <c r="Y136" s="132">
        <f t="shared" si="42"/>
        <v>0.55000000000000004</v>
      </c>
      <c r="Z136" s="62">
        <f t="shared" si="43"/>
        <v>0.1</v>
      </c>
    </row>
    <row r="137" spans="1:26" s="8" customFormat="1" ht="16.95" customHeight="1" x14ac:dyDescent="0.3">
      <c r="A137" s="152">
        <f t="shared" ref="A137:A166" si="44">B137+C137</f>
        <v>50.25</v>
      </c>
      <c r="B137" s="7">
        <f t="shared" si="39"/>
        <v>8.25</v>
      </c>
      <c r="C137" s="88">
        <v>42</v>
      </c>
      <c r="D137" s="54" t="s">
        <v>56</v>
      </c>
      <c r="E137" s="37" t="s">
        <v>171</v>
      </c>
      <c r="F137" s="37" t="s">
        <v>172</v>
      </c>
      <c r="G137" s="37" t="s">
        <v>173</v>
      </c>
      <c r="H137" s="37" t="s">
        <v>12</v>
      </c>
      <c r="I137" s="37" t="s">
        <v>428</v>
      </c>
      <c r="J137" s="37" t="s">
        <v>129</v>
      </c>
      <c r="K137" s="37" t="s">
        <v>60</v>
      </c>
      <c r="L137" s="40">
        <v>3332</v>
      </c>
      <c r="M137" s="42">
        <v>74821</v>
      </c>
      <c r="N137" s="105">
        <f t="shared" si="38"/>
        <v>0.55000000000000004</v>
      </c>
      <c r="O137" s="39">
        <v>3700595</v>
      </c>
      <c r="P137" s="68"/>
      <c r="Q137" s="68"/>
      <c r="R137" s="84">
        <f t="shared" si="37"/>
        <v>3700595</v>
      </c>
      <c r="S137" s="51">
        <f t="shared" si="40"/>
        <v>3700595</v>
      </c>
      <c r="T137" s="37">
        <v>55</v>
      </c>
      <c r="U137" s="29">
        <v>0</v>
      </c>
      <c r="V137" s="74">
        <v>0</v>
      </c>
      <c r="W137" s="73">
        <v>0</v>
      </c>
      <c r="X137" s="153">
        <f t="shared" si="41"/>
        <v>0</v>
      </c>
      <c r="Y137" s="132">
        <f t="shared" si="42"/>
        <v>0.55000000000000004</v>
      </c>
      <c r="Z137" s="62">
        <f t="shared" si="43"/>
        <v>0</v>
      </c>
    </row>
    <row r="138" spans="1:26" s="8" customFormat="1" ht="16.95" customHeight="1" x14ac:dyDescent="0.3">
      <c r="A138" s="152">
        <f t="shared" si="44"/>
        <v>50.25</v>
      </c>
      <c r="B138" s="7">
        <f t="shared" si="39"/>
        <v>26.25</v>
      </c>
      <c r="C138" s="88">
        <v>24</v>
      </c>
      <c r="D138" s="54" t="s">
        <v>56</v>
      </c>
      <c r="E138" s="37" t="s">
        <v>311</v>
      </c>
      <c r="F138" s="37" t="s">
        <v>312</v>
      </c>
      <c r="G138" s="37" t="s">
        <v>313</v>
      </c>
      <c r="H138" s="37" t="s">
        <v>15</v>
      </c>
      <c r="I138" s="37" t="s">
        <v>418</v>
      </c>
      <c r="J138" s="37" t="s">
        <v>113</v>
      </c>
      <c r="K138" s="37" t="s">
        <v>39</v>
      </c>
      <c r="L138" s="40">
        <v>1787</v>
      </c>
      <c r="M138" s="42">
        <v>53098</v>
      </c>
      <c r="N138" s="105">
        <f t="shared" si="38"/>
        <v>0.33</v>
      </c>
      <c r="O138" s="39">
        <v>1118630</v>
      </c>
      <c r="P138" s="68"/>
      <c r="Q138" s="68"/>
      <c r="R138" s="84">
        <f t="shared" si="37"/>
        <v>1118630</v>
      </c>
      <c r="S138" s="51">
        <f t="shared" si="40"/>
        <v>1118630</v>
      </c>
      <c r="T138" s="37">
        <v>175</v>
      </c>
      <c r="U138" s="29">
        <v>0.5</v>
      </c>
      <c r="V138" s="74">
        <v>0</v>
      </c>
      <c r="W138" s="73">
        <v>0</v>
      </c>
      <c r="X138" s="153">
        <f t="shared" si="41"/>
        <v>0</v>
      </c>
      <c r="Y138" s="132">
        <f t="shared" si="42"/>
        <v>0.33</v>
      </c>
      <c r="Z138" s="62">
        <f t="shared" si="43"/>
        <v>0.5</v>
      </c>
    </row>
    <row r="139" spans="1:26" s="8" customFormat="1" ht="16.95" customHeight="1" x14ac:dyDescent="0.3">
      <c r="A139" s="152">
        <f t="shared" si="44"/>
        <v>50</v>
      </c>
      <c r="B139" s="7">
        <f t="shared" si="39"/>
        <v>9</v>
      </c>
      <c r="C139" s="88">
        <v>41</v>
      </c>
      <c r="D139" s="54" t="s">
        <v>56</v>
      </c>
      <c r="E139" s="37" t="s">
        <v>477</v>
      </c>
      <c r="F139" s="37" t="s">
        <v>107</v>
      </c>
      <c r="G139" s="37" t="s">
        <v>108</v>
      </c>
      <c r="H139" s="37" t="s">
        <v>15</v>
      </c>
      <c r="I139" s="37" t="s">
        <v>418</v>
      </c>
      <c r="J139" s="37" t="s">
        <v>41</v>
      </c>
      <c r="K139" s="37" t="s">
        <v>39</v>
      </c>
      <c r="L139" s="38">
        <v>16727</v>
      </c>
      <c r="M139" s="39">
        <v>59296</v>
      </c>
      <c r="N139" s="105">
        <f t="shared" si="38"/>
        <v>0.55000000000000004</v>
      </c>
      <c r="O139" s="81">
        <v>1410992</v>
      </c>
      <c r="P139" s="68"/>
      <c r="Q139" s="68"/>
      <c r="R139" s="84">
        <f t="shared" si="37"/>
        <v>1410992</v>
      </c>
      <c r="S139" s="51">
        <f t="shared" si="40"/>
        <v>1410992</v>
      </c>
      <c r="T139" s="37">
        <v>60</v>
      </c>
      <c r="U139" s="29">
        <v>0.1</v>
      </c>
      <c r="V139" s="74">
        <v>0</v>
      </c>
      <c r="W139" s="73">
        <v>0</v>
      </c>
      <c r="X139" s="153">
        <f t="shared" si="41"/>
        <v>0</v>
      </c>
      <c r="Y139" s="132">
        <f t="shared" si="42"/>
        <v>0.55000000000000004</v>
      </c>
      <c r="Z139" s="62">
        <f t="shared" si="43"/>
        <v>0.1</v>
      </c>
    </row>
    <row r="140" spans="1:26" s="8" customFormat="1" ht="16.95" customHeight="1" x14ac:dyDescent="0.3">
      <c r="A140" s="152">
        <f t="shared" si="44"/>
        <v>50</v>
      </c>
      <c r="B140" s="7">
        <f t="shared" si="39"/>
        <v>15</v>
      </c>
      <c r="C140" s="88">
        <v>35</v>
      </c>
      <c r="D140" s="54" t="s">
        <v>56</v>
      </c>
      <c r="E140" s="37" t="s">
        <v>345</v>
      </c>
      <c r="F140" s="37" t="s">
        <v>346</v>
      </c>
      <c r="G140" s="37" t="s">
        <v>48</v>
      </c>
      <c r="H140" s="37" t="s">
        <v>21</v>
      </c>
      <c r="I140" s="37" t="s">
        <v>415</v>
      </c>
      <c r="J140" s="37" t="s">
        <v>23</v>
      </c>
      <c r="K140" s="37" t="s">
        <v>60</v>
      </c>
      <c r="L140" s="40">
        <v>2222</v>
      </c>
      <c r="M140" s="41">
        <v>58192</v>
      </c>
      <c r="N140" s="105">
        <f t="shared" si="38"/>
        <v>0.55000000000000004</v>
      </c>
      <c r="O140" s="39">
        <v>2299143</v>
      </c>
      <c r="P140" s="68"/>
      <c r="Q140" s="68"/>
      <c r="R140" s="84">
        <f t="shared" si="37"/>
        <v>2299143</v>
      </c>
      <c r="S140" s="51">
        <f t="shared" si="40"/>
        <v>2299143</v>
      </c>
      <c r="T140" s="37">
        <v>100</v>
      </c>
      <c r="U140" s="29">
        <v>0.25</v>
      </c>
      <c r="V140" s="74">
        <v>0</v>
      </c>
      <c r="W140" s="73">
        <v>0</v>
      </c>
      <c r="X140" s="153">
        <f t="shared" si="41"/>
        <v>0</v>
      </c>
      <c r="Y140" s="132">
        <f t="shared" si="42"/>
        <v>0.55000000000000004</v>
      </c>
      <c r="Z140" s="62">
        <f t="shared" si="43"/>
        <v>0.25</v>
      </c>
    </row>
    <row r="141" spans="1:26" s="8" customFormat="1" ht="16.95" customHeight="1" x14ac:dyDescent="0.3">
      <c r="A141" s="152">
        <f t="shared" si="44"/>
        <v>49.75</v>
      </c>
      <c r="B141" s="7">
        <f t="shared" si="39"/>
        <v>3.75</v>
      </c>
      <c r="C141" s="88">
        <v>46</v>
      </c>
      <c r="D141" s="54" t="s">
        <v>56</v>
      </c>
      <c r="E141" s="37" t="s">
        <v>589</v>
      </c>
      <c r="F141" s="37" t="s">
        <v>165</v>
      </c>
      <c r="G141" s="37" t="s">
        <v>166</v>
      </c>
      <c r="H141" s="37" t="s">
        <v>19</v>
      </c>
      <c r="I141" s="37" t="s">
        <v>427</v>
      </c>
      <c r="J141" s="37" t="s">
        <v>42</v>
      </c>
      <c r="K141" s="37" t="s">
        <v>38</v>
      </c>
      <c r="L141" s="40">
        <v>10317</v>
      </c>
      <c r="M141" s="42">
        <v>68339</v>
      </c>
      <c r="N141" s="105">
        <f t="shared" si="38"/>
        <v>0.55000000000000004</v>
      </c>
      <c r="O141" s="39">
        <v>353623</v>
      </c>
      <c r="P141" s="68"/>
      <c r="Q141" s="68"/>
      <c r="R141" s="84">
        <f t="shared" si="37"/>
        <v>353623</v>
      </c>
      <c r="S141" s="51">
        <f t="shared" si="40"/>
        <v>353623</v>
      </c>
      <c r="T141" s="37">
        <v>25</v>
      </c>
      <c r="U141" s="29">
        <v>0</v>
      </c>
      <c r="V141" s="74">
        <v>0</v>
      </c>
      <c r="W141" s="73">
        <v>0</v>
      </c>
      <c r="X141" s="153">
        <f t="shared" si="41"/>
        <v>0</v>
      </c>
      <c r="Y141" s="132">
        <f t="shared" si="42"/>
        <v>0.55000000000000004</v>
      </c>
      <c r="Z141" s="62">
        <f t="shared" si="43"/>
        <v>0</v>
      </c>
    </row>
    <row r="142" spans="1:26" s="8" customFormat="1" ht="16.95" customHeight="1" x14ac:dyDescent="0.3">
      <c r="A142" s="152">
        <f t="shared" si="44"/>
        <v>49.75</v>
      </c>
      <c r="B142" s="7">
        <f t="shared" si="39"/>
        <v>3.75</v>
      </c>
      <c r="C142" s="88">
        <v>46</v>
      </c>
      <c r="D142" s="54" t="s">
        <v>56</v>
      </c>
      <c r="E142" s="37" t="s">
        <v>459</v>
      </c>
      <c r="F142" s="37" t="s">
        <v>226</v>
      </c>
      <c r="G142" s="37" t="s">
        <v>227</v>
      </c>
      <c r="H142" s="37" t="s">
        <v>15</v>
      </c>
      <c r="I142" s="37" t="s">
        <v>51</v>
      </c>
      <c r="J142" s="37" t="s">
        <v>22</v>
      </c>
      <c r="K142" s="37" t="s">
        <v>39</v>
      </c>
      <c r="L142" s="40">
        <v>279012</v>
      </c>
      <c r="M142" s="42">
        <v>70466</v>
      </c>
      <c r="N142" s="105">
        <f t="shared" si="38"/>
        <v>0.55000000000000004</v>
      </c>
      <c r="O142" s="39">
        <v>330000</v>
      </c>
      <c r="P142" s="68"/>
      <c r="Q142" s="68"/>
      <c r="R142" s="84">
        <f t="shared" si="37"/>
        <v>330000</v>
      </c>
      <c r="S142" s="51">
        <f t="shared" si="40"/>
        <v>330000</v>
      </c>
      <c r="T142" s="37">
        <v>25</v>
      </c>
      <c r="U142" s="29">
        <v>0</v>
      </c>
      <c r="V142" s="74">
        <v>0</v>
      </c>
      <c r="W142" s="73">
        <v>0</v>
      </c>
      <c r="X142" s="153">
        <f t="shared" si="41"/>
        <v>0</v>
      </c>
      <c r="Y142" s="132">
        <f t="shared" si="42"/>
        <v>0.55000000000000004</v>
      </c>
      <c r="Z142" s="62">
        <f t="shared" si="43"/>
        <v>0</v>
      </c>
    </row>
    <row r="143" spans="1:26" s="8" customFormat="1" ht="16.95" customHeight="1" x14ac:dyDescent="0.3">
      <c r="A143" s="152">
        <f t="shared" si="44"/>
        <v>49.75</v>
      </c>
      <c r="B143" s="7">
        <f t="shared" si="39"/>
        <v>3.75</v>
      </c>
      <c r="C143" s="88">
        <v>46</v>
      </c>
      <c r="D143" s="54" t="s">
        <v>56</v>
      </c>
      <c r="E143" s="37" t="s">
        <v>459</v>
      </c>
      <c r="F143" s="37" t="s">
        <v>230</v>
      </c>
      <c r="G143" s="37" t="s">
        <v>231</v>
      </c>
      <c r="H143" s="37" t="s">
        <v>15</v>
      </c>
      <c r="I143" s="37" t="s">
        <v>51</v>
      </c>
      <c r="J143" s="37" t="s">
        <v>22</v>
      </c>
      <c r="K143" s="37" t="s">
        <v>39</v>
      </c>
      <c r="L143" s="40">
        <v>279012</v>
      </c>
      <c r="M143" s="42">
        <v>70466</v>
      </c>
      <c r="N143" s="105">
        <f t="shared" si="38"/>
        <v>0.55000000000000004</v>
      </c>
      <c r="O143" s="39">
        <v>3395000</v>
      </c>
      <c r="P143" s="68"/>
      <c r="Q143" s="68"/>
      <c r="R143" s="84">
        <f t="shared" si="37"/>
        <v>3395000</v>
      </c>
      <c r="S143" s="51">
        <f t="shared" si="40"/>
        <v>3395000</v>
      </c>
      <c r="T143" s="37">
        <v>25</v>
      </c>
      <c r="U143" s="29">
        <v>0</v>
      </c>
      <c r="V143" s="74">
        <v>0</v>
      </c>
      <c r="W143" s="73">
        <v>0</v>
      </c>
      <c r="X143" s="153">
        <f t="shared" si="41"/>
        <v>0</v>
      </c>
      <c r="Y143" s="132">
        <f t="shared" si="42"/>
        <v>0.55000000000000004</v>
      </c>
      <c r="Z143" s="62">
        <f t="shared" si="43"/>
        <v>0</v>
      </c>
    </row>
    <row r="144" spans="1:26" s="8" customFormat="1" ht="16.95" customHeight="1" x14ac:dyDescent="0.3">
      <c r="A144" s="152">
        <f t="shared" si="44"/>
        <v>48</v>
      </c>
      <c r="B144" s="7">
        <f t="shared" si="39"/>
        <v>18</v>
      </c>
      <c r="C144" s="88">
        <v>30</v>
      </c>
      <c r="D144" s="54" t="s">
        <v>68</v>
      </c>
      <c r="E144" s="37" t="s">
        <v>503</v>
      </c>
      <c r="F144" s="37" t="s">
        <v>153</v>
      </c>
      <c r="G144" s="37" t="s">
        <v>70</v>
      </c>
      <c r="H144" s="37" t="s">
        <v>21</v>
      </c>
      <c r="I144" s="37" t="s">
        <v>415</v>
      </c>
      <c r="J144" s="37" t="s">
        <v>113</v>
      </c>
      <c r="K144" s="37" t="s">
        <v>60</v>
      </c>
      <c r="L144" s="40">
        <v>940</v>
      </c>
      <c r="M144" s="42">
        <v>64545</v>
      </c>
      <c r="N144" s="317" t="s">
        <v>456</v>
      </c>
      <c r="O144" s="39">
        <v>257088</v>
      </c>
      <c r="P144" s="68"/>
      <c r="Q144" s="68">
        <v>175560</v>
      </c>
      <c r="R144" s="84">
        <f t="shared" si="37"/>
        <v>81528</v>
      </c>
      <c r="S144" s="51">
        <f t="shared" si="40"/>
        <v>213198</v>
      </c>
      <c r="T144" s="37">
        <v>120</v>
      </c>
      <c r="U144" s="29">
        <v>0.3</v>
      </c>
      <c r="V144" s="74">
        <v>43890</v>
      </c>
      <c r="W144" s="73">
        <v>0</v>
      </c>
      <c r="X144" s="153">
        <f t="shared" si="41"/>
        <v>43890</v>
      </c>
      <c r="Y144" s="132">
        <f t="shared" si="42"/>
        <v>0.55000000000000004</v>
      </c>
      <c r="Z144" s="62">
        <f t="shared" si="43"/>
        <v>0.3</v>
      </c>
    </row>
    <row r="145" spans="1:26" s="8" customFormat="1" ht="16.95" customHeight="1" x14ac:dyDescent="0.3">
      <c r="A145" s="152">
        <f t="shared" si="44"/>
        <v>47.75</v>
      </c>
      <c r="B145" s="7">
        <f t="shared" si="39"/>
        <v>27.75</v>
      </c>
      <c r="C145" s="7">
        <v>20</v>
      </c>
      <c r="D145" s="92" t="s">
        <v>56</v>
      </c>
      <c r="E145" s="37" t="s">
        <v>83</v>
      </c>
      <c r="F145" s="37" t="s">
        <v>586</v>
      </c>
      <c r="G145" s="37" t="s">
        <v>587</v>
      </c>
      <c r="H145" s="37" t="s">
        <v>12</v>
      </c>
      <c r="I145" s="37" t="s">
        <v>413</v>
      </c>
      <c r="J145" s="92" t="s">
        <v>14</v>
      </c>
      <c r="K145" s="37" t="s">
        <v>13</v>
      </c>
      <c r="L145" s="38">
        <v>1549</v>
      </c>
      <c r="M145" s="39">
        <v>45811</v>
      </c>
      <c r="N145" s="105">
        <f t="shared" ref="N145:N166" si="45">Y145</f>
        <v>0.33</v>
      </c>
      <c r="O145" s="39">
        <v>870585</v>
      </c>
      <c r="P145" s="68"/>
      <c r="Q145" s="68"/>
      <c r="R145" s="84">
        <f t="shared" si="37"/>
        <v>870585</v>
      </c>
      <c r="S145" s="51">
        <f t="shared" si="40"/>
        <v>870585</v>
      </c>
      <c r="T145" s="37">
        <v>185</v>
      </c>
      <c r="U145" s="29">
        <v>0.55000000000000004</v>
      </c>
      <c r="V145" s="74">
        <v>0</v>
      </c>
      <c r="W145" s="73">
        <v>0</v>
      </c>
      <c r="X145" s="153">
        <f t="shared" si="41"/>
        <v>0</v>
      </c>
      <c r="Y145" s="132">
        <f t="shared" si="42"/>
        <v>0.33</v>
      </c>
      <c r="Z145" s="62">
        <f t="shared" si="43"/>
        <v>0.55000000000000004</v>
      </c>
    </row>
    <row r="146" spans="1:26" s="8" customFormat="1" ht="16.95" customHeight="1" x14ac:dyDescent="0.3">
      <c r="A146" s="152">
        <f t="shared" si="44"/>
        <v>47</v>
      </c>
      <c r="B146" s="7">
        <f t="shared" si="39"/>
        <v>18</v>
      </c>
      <c r="C146" s="88">
        <v>29</v>
      </c>
      <c r="D146" s="54" t="s">
        <v>56</v>
      </c>
      <c r="E146" s="37" t="s">
        <v>152</v>
      </c>
      <c r="F146" s="37" t="s">
        <v>154</v>
      </c>
      <c r="G146" s="37" t="s">
        <v>155</v>
      </c>
      <c r="H146" s="37" t="s">
        <v>21</v>
      </c>
      <c r="I146" s="37" t="s">
        <v>415</v>
      </c>
      <c r="J146" s="37" t="s">
        <v>113</v>
      </c>
      <c r="K146" s="37" t="s">
        <v>60</v>
      </c>
      <c r="L146" s="40">
        <v>940</v>
      </c>
      <c r="M146" s="42">
        <v>64545</v>
      </c>
      <c r="N146" s="105">
        <f t="shared" si="45"/>
        <v>0.55000000000000004</v>
      </c>
      <c r="O146" s="39">
        <v>1108821</v>
      </c>
      <c r="P146" s="68"/>
      <c r="Q146" s="68"/>
      <c r="R146" s="84">
        <f t="shared" si="37"/>
        <v>1108821</v>
      </c>
      <c r="S146" s="51">
        <f t="shared" si="40"/>
        <v>1108821</v>
      </c>
      <c r="T146" s="37">
        <v>120</v>
      </c>
      <c r="U146" s="29">
        <v>0.3</v>
      </c>
      <c r="V146" s="74">
        <v>0</v>
      </c>
      <c r="W146" s="73">
        <v>0</v>
      </c>
      <c r="X146" s="153">
        <f t="shared" si="41"/>
        <v>0</v>
      </c>
      <c r="Y146" s="132">
        <f t="shared" si="42"/>
        <v>0.55000000000000004</v>
      </c>
      <c r="Z146" s="62">
        <f t="shared" si="43"/>
        <v>0.3</v>
      </c>
    </row>
    <row r="147" spans="1:26" s="8" customFormat="1" ht="16.95" customHeight="1" x14ac:dyDescent="0.3">
      <c r="A147" s="152">
        <f t="shared" si="44"/>
        <v>46.5</v>
      </c>
      <c r="B147" s="7">
        <f t="shared" si="39"/>
        <v>13.5</v>
      </c>
      <c r="C147" s="88">
        <v>33</v>
      </c>
      <c r="D147" s="54" t="s">
        <v>56</v>
      </c>
      <c r="E147" s="37" t="s">
        <v>468</v>
      </c>
      <c r="F147" s="37" t="s">
        <v>370</v>
      </c>
      <c r="G147" s="37" t="s">
        <v>371</v>
      </c>
      <c r="H147" s="37" t="s">
        <v>12</v>
      </c>
      <c r="I147" s="37" t="s">
        <v>426</v>
      </c>
      <c r="J147" s="37" t="s">
        <v>43</v>
      </c>
      <c r="K147" s="37" t="s">
        <v>60</v>
      </c>
      <c r="L147" s="40">
        <v>40199</v>
      </c>
      <c r="M147" s="41">
        <v>53800</v>
      </c>
      <c r="N147" s="105">
        <f t="shared" si="45"/>
        <v>0.55000000000000004</v>
      </c>
      <c r="O147" s="39">
        <v>239916</v>
      </c>
      <c r="P147" s="68"/>
      <c r="Q147" s="68"/>
      <c r="R147" s="84">
        <f t="shared" ref="R147:R166" si="46">O147-P147-Q147</f>
        <v>239916</v>
      </c>
      <c r="S147" s="51">
        <f t="shared" si="40"/>
        <v>239916</v>
      </c>
      <c r="T147" s="37">
        <v>90</v>
      </c>
      <c r="U147" s="29">
        <v>0.2</v>
      </c>
      <c r="V147" s="74">
        <v>0</v>
      </c>
      <c r="W147" s="73">
        <v>0</v>
      </c>
      <c r="X147" s="153">
        <f t="shared" si="41"/>
        <v>0</v>
      </c>
      <c r="Y147" s="132">
        <f t="shared" si="42"/>
        <v>0.55000000000000004</v>
      </c>
      <c r="Z147" s="62">
        <f t="shared" si="43"/>
        <v>0.2</v>
      </c>
    </row>
    <row r="148" spans="1:26" s="8" customFormat="1" ht="16.95" customHeight="1" x14ac:dyDescent="0.3">
      <c r="A148" s="152">
        <f t="shared" si="44"/>
        <v>46</v>
      </c>
      <c r="B148" s="7">
        <f t="shared" si="39"/>
        <v>9</v>
      </c>
      <c r="C148" s="88">
        <v>37</v>
      </c>
      <c r="D148" s="54" t="s">
        <v>56</v>
      </c>
      <c r="E148" s="37" t="s">
        <v>477</v>
      </c>
      <c r="F148" s="37" t="s">
        <v>105</v>
      </c>
      <c r="G148" s="37" t="s">
        <v>106</v>
      </c>
      <c r="H148" s="37" t="s">
        <v>15</v>
      </c>
      <c r="I148" s="37" t="s">
        <v>418</v>
      </c>
      <c r="J148" s="37" t="s">
        <v>41</v>
      </c>
      <c r="K148" s="37" t="s">
        <v>39</v>
      </c>
      <c r="L148" s="38">
        <v>16727</v>
      </c>
      <c r="M148" s="39">
        <v>59296</v>
      </c>
      <c r="N148" s="105">
        <f t="shared" si="45"/>
        <v>0.55000000000000004</v>
      </c>
      <c r="O148" s="81">
        <v>837211</v>
      </c>
      <c r="P148" s="68"/>
      <c r="Q148" s="68"/>
      <c r="R148" s="84">
        <f t="shared" si="46"/>
        <v>837211</v>
      </c>
      <c r="S148" s="51">
        <f t="shared" si="40"/>
        <v>837211</v>
      </c>
      <c r="T148" s="37">
        <v>60</v>
      </c>
      <c r="U148" s="29">
        <v>0.1</v>
      </c>
      <c r="V148" s="74">
        <v>0</v>
      </c>
      <c r="W148" s="73">
        <v>0</v>
      </c>
      <c r="X148" s="153">
        <f t="shared" si="41"/>
        <v>0</v>
      </c>
      <c r="Y148" s="132">
        <f t="shared" si="42"/>
        <v>0.55000000000000004</v>
      </c>
      <c r="Z148" s="62">
        <f t="shared" si="43"/>
        <v>0.1</v>
      </c>
    </row>
    <row r="149" spans="1:26" s="8" customFormat="1" ht="16.95" customHeight="1" x14ac:dyDescent="0.3">
      <c r="A149" s="152">
        <f t="shared" si="44"/>
        <v>45.75</v>
      </c>
      <c r="B149" s="7">
        <f t="shared" si="39"/>
        <v>3.75</v>
      </c>
      <c r="C149" s="88">
        <v>42</v>
      </c>
      <c r="D149" s="54" t="s">
        <v>56</v>
      </c>
      <c r="E149" s="37" t="s">
        <v>459</v>
      </c>
      <c r="F149" s="37" t="s">
        <v>224</v>
      </c>
      <c r="G149" s="37" t="s">
        <v>225</v>
      </c>
      <c r="H149" s="37" t="s">
        <v>15</v>
      </c>
      <c r="I149" s="37" t="s">
        <v>51</v>
      </c>
      <c r="J149" s="37" t="s">
        <v>22</v>
      </c>
      <c r="K149" s="37" t="s">
        <v>39</v>
      </c>
      <c r="L149" s="40">
        <v>279012</v>
      </c>
      <c r="M149" s="42">
        <v>70466</v>
      </c>
      <c r="N149" s="105">
        <f t="shared" si="45"/>
        <v>0.55000000000000004</v>
      </c>
      <c r="O149" s="39">
        <v>400000</v>
      </c>
      <c r="P149" s="68"/>
      <c r="Q149" s="68"/>
      <c r="R149" s="84">
        <f t="shared" si="46"/>
        <v>400000</v>
      </c>
      <c r="S149" s="51">
        <f t="shared" si="40"/>
        <v>400000</v>
      </c>
      <c r="T149" s="37">
        <v>25</v>
      </c>
      <c r="U149" s="29">
        <v>0</v>
      </c>
      <c r="V149" s="74">
        <v>0</v>
      </c>
      <c r="W149" s="73">
        <v>0</v>
      </c>
      <c r="X149" s="153">
        <f t="shared" si="41"/>
        <v>0</v>
      </c>
      <c r="Y149" s="132">
        <f t="shared" si="42"/>
        <v>0.55000000000000004</v>
      </c>
      <c r="Z149" s="62">
        <f t="shared" si="43"/>
        <v>0</v>
      </c>
    </row>
    <row r="150" spans="1:26" s="8" customFormat="1" ht="16.95" customHeight="1" x14ac:dyDescent="0.3">
      <c r="A150" s="152">
        <f t="shared" si="44"/>
        <v>45.25</v>
      </c>
      <c r="B150" s="7">
        <f t="shared" si="39"/>
        <v>11.25</v>
      </c>
      <c r="C150" s="88">
        <v>34</v>
      </c>
      <c r="D150" s="54" t="s">
        <v>56</v>
      </c>
      <c r="E150" s="37" t="s">
        <v>159</v>
      </c>
      <c r="F150" s="37" t="s">
        <v>160</v>
      </c>
      <c r="G150" s="37" t="s">
        <v>118</v>
      </c>
      <c r="H150" s="37" t="s">
        <v>15</v>
      </c>
      <c r="I150" s="37" t="s">
        <v>402</v>
      </c>
      <c r="J150" s="37" t="s">
        <v>41</v>
      </c>
      <c r="K150" s="37" t="s">
        <v>39</v>
      </c>
      <c r="L150" s="40">
        <v>5997</v>
      </c>
      <c r="M150" s="42">
        <v>68900</v>
      </c>
      <c r="N150" s="105">
        <f t="shared" si="45"/>
        <v>0.55000000000000004</v>
      </c>
      <c r="O150" s="39">
        <v>330882</v>
      </c>
      <c r="P150" s="68"/>
      <c r="Q150" s="68"/>
      <c r="R150" s="84">
        <f t="shared" si="46"/>
        <v>330882</v>
      </c>
      <c r="S150" s="51">
        <f t="shared" si="40"/>
        <v>330882</v>
      </c>
      <c r="T150" s="37">
        <v>75</v>
      </c>
      <c r="U150" s="29">
        <v>0.15</v>
      </c>
      <c r="V150" s="74">
        <v>0</v>
      </c>
      <c r="W150" s="73">
        <v>0</v>
      </c>
      <c r="X150" s="153">
        <f t="shared" si="41"/>
        <v>0</v>
      </c>
      <c r="Y150" s="132">
        <f t="shared" si="42"/>
        <v>0.55000000000000004</v>
      </c>
      <c r="Z150" s="62">
        <f t="shared" si="43"/>
        <v>0.15</v>
      </c>
    </row>
    <row r="151" spans="1:26" s="8" customFormat="1" ht="16.95" customHeight="1" x14ac:dyDescent="0.3">
      <c r="A151" s="152">
        <f t="shared" si="44"/>
        <v>43</v>
      </c>
      <c r="B151" s="7">
        <f t="shared" si="39"/>
        <v>18</v>
      </c>
      <c r="C151" s="88">
        <v>25</v>
      </c>
      <c r="D151" s="54" t="s">
        <v>56</v>
      </c>
      <c r="E151" s="37" t="s">
        <v>292</v>
      </c>
      <c r="F151" s="37" t="s">
        <v>293</v>
      </c>
      <c r="G151" s="37" t="s">
        <v>294</v>
      </c>
      <c r="H151" s="37" t="s">
        <v>15</v>
      </c>
      <c r="I151" s="37" t="s">
        <v>402</v>
      </c>
      <c r="J151" s="37" t="s">
        <v>18</v>
      </c>
      <c r="K151" s="37" t="s">
        <v>39</v>
      </c>
      <c r="L151" s="40">
        <v>1494</v>
      </c>
      <c r="M151" s="42">
        <v>57721</v>
      </c>
      <c r="N151" s="105">
        <f t="shared" si="45"/>
        <v>0.55000000000000004</v>
      </c>
      <c r="O151" s="39">
        <v>537500</v>
      </c>
      <c r="P151" s="68"/>
      <c r="Q151" s="68"/>
      <c r="R151" s="84">
        <f t="shared" si="46"/>
        <v>537500</v>
      </c>
      <c r="S151" s="51">
        <f t="shared" si="40"/>
        <v>537500</v>
      </c>
      <c r="T151" s="37">
        <v>120</v>
      </c>
      <c r="U151" s="29">
        <v>0.3</v>
      </c>
      <c r="V151" s="74">
        <v>0</v>
      </c>
      <c r="W151" s="73">
        <v>0</v>
      </c>
      <c r="X151" s="153">
        <f t="shared" si="41"/>
        <v>0</v>
      </c>
      <c r="Y151" s="132">
        <f t="shared" si="42"/>
        <v>0.55000000000000004</v>
      </c>
      <c r="Z151" s="62">
        <f t="shared" si="43"/>
        <v>0.3</v>
      </c>
    </row>
    <row r="152" spans="1:26" s="8" customFormat="1" ht="16.95" customHeight="1" x14ac:dyDescent="0.3">
      <c r="A152" s="152">
        <f t="shared" si="44"/>
        <v>42.75</v>
      </c>
      <c r="B152" s="7">
        <f t="shared" si="39"/>
        <v>12.75</v>
      </c>
      <c r="C152" s="88">
        <v>30</v>
      </c>
      <c r="D152" s="54" t="s">
        <v>56</v>
      </c>
      <c r="E152" s="37" t="s">
        <v>135</v>
      </c>
      <c r="F152" s="37" t="s">
        <v>136</v>
      </c>
      <c r="G152" s="37" t="s">
        <v>137</v>
      </c>
      <c r="H152" s="37" t="s">
        <v>19</v>
      </c>
      <c r="I152" s="37" t="s">
        <v>405</v>
      </c>
      <c r="J152" s="37" t="s">
        <v>23</v>
      </c>
      <c r="K152" s="37" t="s">
        <v>38</v>
      </c>
      <c r="L152" s="38">
        <v>726</v>
      </c>
      <c r="M152" s="42">
        <v>81429</v>
      </c>
      <c r="N152" s="105">
        <f t="shared" si="45"/>
        <v>0.55000000000000004</v>
      </c>
      <c r="O152" s="39">
        <v>285350</v>
      </c>
      <c r="P152" s="68"/>
      <c r="Q152" s="68"/>
      <c r="R152" s="84">
        <f t="shared" si="46"/>
        <v>285350</v>
      </c>
      <c r="S152" s="51">
        <f t="shared" si="40"/>
        <v>285350</v>
      </c>
      <c r="T152" s="37">
        <v>85</v>
      </c>
      <c r="U152" s="29">
        <v>0.2</v>
      </c>
      <c r="V152" s="74">
        <v>0</v>
      </c>
      <c r="W152" s="73">
        <v>0</v>
      </c>
      <c r="X152" s="153">
        <f t="shared" si="41"/>
        <v>0</v>
      </c>
      <c r="Y152" s="132">
        <f t="shared" si="42"/>
        <v>0.55000000000000004</v>
      </c>
      <c r="Z152" s="62">
        <f t="shared" si="43"/>
        <v>0.2</v>
      </c>
    </row>
    <row r="153" spans="1:26" s="8" customFormat="1" ht="16.95" customHeight="1" x14ac:dyDescent="0.3">
      <c r="A153" s="152">
        <f t="shared" si="44"/>
        <v>42.5</v>
      </c>
      <c r="B153" s="7">
        <f t="shared" si="39"/>
        <v>13.5</v>
      </c>
      <c r="C153" s="88">
        <v>29</v>
      </c>
      <c r="D153" s="54" t="s">
        <v>56</v>
      </c>
      <c r="E153" s="37" t="s">
        <v>468</v>
      </c>
      <c r="F153" s="37" t="s">
        <v>374</v>
      </c>
      <c r="G153" s="37" t="s">
        <v>375</v>
      </c>
      <c r="H153" s="37" t="s">
        <v>12</v>
      </c>
      <c r="I153" s="37" t="s">
        <v>426</v>
      </c>
      <c r="J153" s="37" t="s">
        <v>43</v>
      </c>
      <c r="K153" s="37" t="s">
        <v>60</v>
      </c>
      <c r="L153" s="40">
        <v>40199</v>
      </c>
      <c r="M153" s="41">
        <v>53800</v>
      </c>
      <c r="N153" s="105">
        <f t="shared" si="45"/>
        <v>0.55000000000000004</v>
      </c>
      <c r="O153" s="39">
        <v>1041673</v>
      </c>
      <c r="P153" s="68"/>
      <c r="Q153" s="68"/>
      <c r="R153" s="84">
        <f t="shared" si="46"/>
        <v>1041673</v>
      </c>
      <c r="S153" s="51">
        <f t="shared" si="40"/>
        <v>1041673</v>
      </c>
      <c r="T153" s="37">
        <v>90</v>
      </c>
      <c r="U153" s="29">
        <v>0.2</v>
      </c>
      <c r="V153" s="74">
        <v>0</v>
      </c>
      <c r="W153" s="73">
        <v>0</v>
      </c>
      <c r="X153" s="153">
        <f t="shared" si="41"/>
        <v>0</v>
      </c>
      <c r="Y153" s="132">
        <f t="shared" si="42"/>
        <v>0.55000000000000004</v>
      </c>
      <c r="Z153" s="62">
        <f t="shared" si="43"/>
        <v>0.2</v>
      </c>
    </row>
    <row r="154" spans="1:26" s="8" customFormat="1" ht="16.95" customHeight="1" x14ac:dyDescent="0.3">
      <c r="A154" s="152">
        <f t="shared" si="44"/>
        <v>41.75</v>
      </c>
      <c r="B154" s="7">
        <f t="shared" si="39"/>
        <v>21.75</v>
      </c>
      <c r="C154" s="88">
        <v>20</v>
      </c>
      <c r="D154" s="54" t="s">
        <v>56</v>
      </c>
      <c r="E154" s="37" t="s">
        <v>110</v>
      </c>
      <c r="F154" s="37" t="s">
        <v>114</v>
      </c>
      <c r="G154" s="37" t="s">
        <v>115</v>
      </c>
      <c r="H154" s="37" t="s">
        <v>21</v>
      </c>
      <c r="I154" s="37" t="s">
        <v>419</v>
      </c>
      <c r="J154" s="37" t="s">
        <v>113</v>
      </c>
      <c r="K154" s="37" t="s">
        <v>60</v>
      </c>
      <c r="L154" s="38">
        <v>402</v>
      </c>
      <c r="M154" s="39">
        <v>54063</v>
      </c>
      <c r="N154" s="105">
        <f t="shared" si="45"/>
        <v>0.55000000000000004</v>
      </c>
      <c r="O154" s="39">
        <v>691454</v>
      </c>
      <c r="P154" s="68"/>
      <c r="Q154" s="68"/>
      <c r="R154" s="84">
        <f t="shared" si="46"/>
        <v>691454</v>
      </c>
      <c r="S154" s="51">
        <f t="shared" si="40"/>
        <v>691454</v>
      </c>
      <c r="T154" s="37">
        <v>145</v>
      </c>
      <c r="U154" s="29">
        <v>0.4</v>
      </c>
      <c r="V154" s="74">
        <v>0</v>
      </c>
      <c r="W154" s="73">
        <v>0</v>
      </c>
      <c r="X154" s="153">
        <f t="shared" si="41"/>
        <v>0</v>
      </c>
      <c r="Y154" s="132">
        <f t="shared" si="42"/>
        <v>0.55000000000000004</v>
      </c>
      <c r="Z154" s="62">
        <f t="shared" si="43"/>
        <v>0.4</v>
      </c>
    </row>
    <row r="155" spans="1:26" s="8" customFormat="1" ht="16.95" customHeight="1" x14ac:dyDescent="0.3">
      <c r="A155" s="152">
        <f t="shared" si="44"/>
        <v>41</v>
      </c>
      <c r="B155" s="7">
        <f t="shared" si="39"/>
        <v>21</v>
      </c>
      <c r="C155" s="88">
        <v>20</v>
      </c>
      <c r="D155" s="54" t="s">
        <v>56</v>
      </c>
      <c r="E155" s="37" t="s">
        <v>116</v>
      </c>
      <c r="F155" s="37" t="s">
        <v>117</v>
      </c>
      <c r="G155" s="37" t="s">
        <v>118</v>
      </c>
      <c r="H155" s="37" t="s">
        <v>16</v>
      </c>
      <c r="I155" s="37" t="s">
        <v>420</v>
      </c>
      <c r="J155" s="37" t="s">
        <v>119</v>
      </c>
      <c r="K155" s="37" t="s">
        <v>17</v>
      </c>
      <c r="L155" s="40">
        <v>1353</v>
      </c>
      <c r="M155" s="39">
        <v>58947</v>
      </c>
      <c r="N155" s="105">
        <f t="shared" si="45"/>
        <v>0.55000000000000004</v>
      </c>
      <c r="O155" s="39">
        <v>1418755</v>
      </c>
      <c r="P155" s="68"/>
      <c r="Q155" s="68"/>
      <c r="R155" s="84">
        <f t="shared" si="46"/>
        <v>1418755</v>
      </c>
      <c r="S155" s="51">
        <f t="shared" si="40"/>
        <v>1418755</v>
      </c>
      <c r="T155" s="37">
        <v>140</v>
      </c>
      <c r="U155" s="29">
        <v>0.4</v>
      </c>
      <c r="V155" s="74">
        <v>0</v>
      </c>
      <c r="W155" s="73">
        <v>0</v>
      </c>
      <c r="X155" s="153">
        <f t="shared" si="41"/>
        <v>0</v>
      </c>
      <c r="Y155" s="132">
        <f t="shared" si="42"/>
        <v>0.55000000000000004</v>
      </c>
      <c r="Z155" s="62">
        <f t="shared" si="43"/>
        <v>0.4</v>
      </c>
    </row>
    <row r="156" spans="1:26" s="8" customFormat="1" ht="16.95" customHeight="1" x14ac:dyDescent="0.3">
      <c r="A156" s="152">
        <f t="shared" si="44"/>
        <v>40.25</v>
      </c>
      <c r="B156" s="7">
        <f t="shared" si="39"/>
        <v>11.25</v>
      </c>
      <c r="C156" s="88">
        <v>29</v>
      </c>
      <c r="D156" s="54" t="s">
        <v>56</v>
      </c>
      <c r="E156" s="37" t="s">
        <v>120</v>
      </c>
      <c r="F156" s="37" t="s">
        <v>121</v>
      </c>
      <c r="G156" s="37" t="s">
        <v>122</v>
      </c>
      <c r="H156" s="37" t="s">
        <v>15</v>
      </c>
      <c r="I156" s="37" t="s">
        <v>51</v>
      </c>
      <c r="J156" s="37" t="s">
        <v>29</v>
      </c>
      <c r="K156" s="37" t="s">
        <v>39</v>
      </c>
      <c r="L156" s="40">
        <v>1551</v>
      </c>
      <c r="M156" s="42">
        <v>68654</v>
      </c>
      <c r="N156" s="105">
        <f t="shared" si="45"/>
        <v>0.55000000000000004</v>
      </c>
      <c r="O156" s="39">
        <v>1498400</v>
      </c>
      <c r="P156" s="68"/>
      <c r="Q156" s="68"/>
      <c r="R156" s="84">
        <f t="shared" si="46"/>
        <v>1498400</v>
      </c>
      <c r="S156" s="51">
        <f t="shared" si="40"/>
        <v>1498400</v>
      </c>
      <c r="T156" s="37">
        <v>75</v>
      </c>
      <c r="U156" s="29">
        <v>0.15</v>
      </c>
      <c r="V156" s="74">
        <v>0</v>
      </c>
      <c r="W156" s="73">
        <v>0</v>
      </c>
      <c r="X156" s="153">
        <f t="shared" si="41"/>
        <v>0</v>
      </c>
      <c r="Y156" s="132">
        <f t="shared" si="42"/>
        <v>0.55000000000000004</v>
      </c>
      <c r="Z156" s="62">
        <f t="shared" si="43"/>
        <v>0.15</v>
      </c>
    </row>
    <row r="157" spans="1:26" s="8" customFormat="1" ht="16.95" customHeight="1" x14ac:dyDescent="0.3">
      <c r="A157" s="152">
        <f t="shared" si="44"/>
        <v>40</v>
      </c>
      <c r="B157" s="7">
        <f t="shared" si="39"/>
        <v>12</v>
      </c>
      <c r="C157" s="88">
        <v>28</v>
      </c>
      <c r="D157" s="54" t="s">
        <v>56</v>
      </c>
      <c r="E157" s="37" t="s">
        <v>31</v>
      </c>
      <c r="F157" s="37" t="s">
        <v>243</v>
      </c>
      <c r="G157" s="37" t="s">
        <v>244</v>
      </c>
      <c r="H157" s="37" t="s">
        <v>15</v>
      </c>
      <c r="I157" s="37" t="s">
        <v>418</v>
      </c>
      <c r="J157" s="37" t="s">
        <v>41</v>
      </c>
      <c r="K157" s="37" t="s">
        <v>39</v>
      </c>
      <c r="L157" s="40">
        <v>5211</v>
      </c>
      <c r="M157" s="42">
        <v>59445</v>
      </c>
      <c r="N157" s="105">
        <f t="shared" si="45"/>
        <v>0.55000000000000004</v>
      </c>
      <c r="O157" s="39">
        <v>258054</v>
      </c>
      <c r="P157" s="68"/>
      <c r="Q157" s="68"/>
      <c r="R157" s="84">
        <f t="shared" si="46"/>
        <v>258054</v>
      </c>
      <c r="S157" s="51">
        <f t="shared" si="40"/>
        <v>258054</v>
      </c>
      <c r="T157" s="37">
        <v>80</v>
      </c>
      <c r="U157" s="29">
        <v>0.2</v>
      </c>
      <c r="V157" s="74">
        <v>0</v>
      </c>
      <c r="W157" s="73">
        <v>0</v>
      </c>
      <c r="X157" s="153">
        <f t="shared" si="41"/>
        <v>0</v>
      </c>
      <c r="Y157" s="132">
        <f t="shared" si="42"/>
        <v>0.55000000000000004</v>
      </c>
      <c r="Z157" s="62">
        <f t="shared" si="43"/>
        <v>0.2</v>
      </c>
    </row>
    <row r="158" spans="1:26" s="8" customFormat="1" ht="16.95" customHeight="1" x14ac:dyDescent="0.3">
      <c r="A158" s="152">
        <f t="shared" si="44"/>
        <v>39.75</v>
      </c>
      <c r="B158" s="7">
        <f t="shared" si="39"/>
        <v>15.75</v>
      </c>
      <c r="C158" s="88">
        <v>24</v>
      </c>
      <c r="D158" s="54" t="s">
        <v>56</v>
      </c>
      <c r="E158" s="37" t="s">
        <v>347</v>
      </c>
      <c r="F158" s="37" t="s">
        <v>348</v>
      </c>
      <c r="G158" s="37" t="s">
        <v>349</v>
      </c>
      <c r="H158" s="37" t="s">
        <v>15</v>
      </c>
      <c r="I158" s="37" t="s">
        <v>418</v>
      </c>
      <c r="J158" s="37" t="s">
        <v>101</v>
      </c>
      <c r="K158" s="37" t="s">
        <v>39</v>
      </c>
      <c r="L158" s="38">
        <v>1260</v>
      </c>
      <c r="M158" s="39">
        <v>63109</v>
      </c>
      <c r="N158" s="105">
        <f t="shared" si="45"/>
        <v>0.55000000000000004</v>
      </c>
      <c r="O158" s="39">
        <v>621401</v>
      </c>
      <c r="P158" s="68"/>
      <c r="Q158" s="68"/>
      <c r="R158" s="84">
        <f t="shared" si="46"/>
        <v>621401</v>
      </c>
      <c r="S158" s="51">
        <f t="shared" si="40"/>
        <v>621401</v>
      </c>
      <c r="T158" s="37">
        <v>105</v>
      </c>
      <c r="U158" s="29">
        <v>0.25</v>
      </c>
      <c r="V158" s="74">
        <v>0</v>
      </c>
      <c r="W158" s="73">
        <v>0</v>
      </c>
      <c r="X158" s="153">
        <f t="shared" si="41"/>
        <v>0</v>
      </c>
      <c r="Y158" s="132">
        <f t="shared" si="42"/>
        <v>0.55000000000000004</v>
      </c>
      <c r="Z158" s="62">
        <f t="shared" si="43"/>
        <v>0.25</v>
      </c>
    </row>
    <row r="159" spans="1:26" s="8" customFormat="1" ht="16.95" customHeight="1" x14ac:dyDescent="0.3">
      <c r="A159" s="152">
        <f t="shared" si="44"/>
        <v>39</v>
      </c>
      <c r="B159" s="7">
        <f t="shared" si="39"/>
        <v>9</v>
      </c>
      <c r="C159" s="88">
        <v>30</v>
      </c>
      <c r="D159" s="54" t="s">
        <v>56</v>
      </c>
      <c r="E159" s="37" t="s">
        <v>86</v>
      </c>
      <c r="F159" s="37" t="s">
        <v>90</v>
      </c>
      <c r="G159" s="37" t="s">
        <v>91</v>
      </c>
      <c r="H159" s="37" t="s">
        <v>12</v>
      </c>
      <c r="I159" s="37" t="s">
        <v>414</v>
      </c>
      <c r="J159" s="37" t="s">
        <v>89</v>
      </c>
      <c r="K159" s="37" t="s">
        <v>13</v>
      </c>
      <c r="L159" s="38">
        <v>4356</v>
      </c>
      <c r="M159" s="39">
        <v>72832</v>
      </c>
      <c r="N159" s="105">
        <f t="shared" si="45"/>
        <v>0.55000000000000004</v>
      </c>
      <c r="O159" s="39">
        <v>1233350</v>
      </c>
      <c r="P159" s="68"/>
      <c r="Q159" s="68"/>
      <c r="R159" s="84">
        <f t="shared" si="46"/>
        <v>1233350</v>
      </c>
      <c r="S159" s="51">
        <f t="shared" si="40"/>
        <v>1233350</v>
      </c>
      <c r="T159" s="37">
        <v>60</v>
      </c>
      <c r="U159" s="29">
        <v>0.1</v>
      </c>
      <c r="V159" s="74">
        <v>0</v>
      </c>
      <c r="W159" s="73">
        <v>0</v>
      </c>
      <c r="X159" s="153">
        <f t="shared" si="41"/>
        <v>0</v>
      </c>
      <c r="Y159" s="132">
        <f t="shared" si="42"/>
        <v>0.55000000000000004</v>
      </c>
      <c r="Z159" s="62">
        <f t="shared" si="43"/>
        <v>0.1</v>
      </c>
    </row>
    <row r="160" spans="1:26" s="8" customFormat="1" ht="16.95" customHeight="1" x14ac:dyDescent="0.3">
      <c r="A160" s="152">
        <f t="shared" si="44"/>
        <v>38</v>
      </c>
      <c r="B160" s="7">
        <f t="shared" si="39"/>
        <v>15</v>
      </c>
      <c r="C160" s="88">
        <v>23</v>
      </c>
      <c r="D160" s="54" t="s">
        <v>56</v>
      </c>
      <c r="E160" s="37" t="s">
        <v>299</v>
      </c>
      <c r="F160" s="37" t="s">
        <v>300</v>
      </c>
      <c r="G160" s="37" t="s">
        <v>301</v>
      </c>
      <c r="H160" s="37" t="s">
        <v>15</v>
      </c>
      <c r="I160" s="37" t="s">
        <v>416</v>
      </c>
      <c r="J160" s="37" t="s">
        <v>29</v>
      </c>
      <c r="K160" s="37" t="s">
        <v>39</v>
      </c>
      <c r="L160" s="40">
        <v>748</v>
      </c>
      <c r="M160" s="42">
        <v>74485</v>
      </c>
      <c r="N160" s="105">
        <f t="shared" si="45"/>
        <v>0.55000000000000004</v>
      </c>
      <c r="O160" s="39">
        <v>594800</v>
      </c>
      <c r="P160" s="68"/>
      <c r="Q160" s="68"/>
      <c r="R160" s="84">
        <f t="shared" si="46"/>
        <v>594800</v>
      </c>
      <c r="S160" s="51">
        <f t="shared" si="40"/>
        <v>594800</v>
      </c>
      <c r="T160" s="37">
        <v>100</v>
      </c>
      <c r="U160" s="29">
        <v>0.25</v>
      </c>
      <c r="V160" s="74">
        <v>0</v>
      </c>
      <c r="W160" s="73">
        <v>0</v>
      </c>
      <c r="X160" s="153">
        <f t="shared" si="41"/>
        <v>0</v>
      </c>
      <c r="Y160" s="132">
        <f t="shared" si="42"/>
        <v>0.55000000000000004</v>
      </c>
      <c r="Z160" s="62">
        <f t="shared" si="43"/>
        <v>0.25</v>
      </c>
    </row>
    <row r="161" spans="1:27" s="8" customFormat="1" ht="16.95" customHeight="1" x14ac:dyDescent="0.3">
      <c r="A161" s="152">
        <f t="shared" si="44"/>
        <v>36</v>
      </c>
      <c r="B161" s="7">
        <f t="shared" si="39"/>
        <v>12</v>
      </c>
      <c r="C161" s="88">
        <v>24</v>
      </c>
      <c r="D161" s="54" t="s">
        <v>56</v>
      </c>
      <c r="E161" s="37" t="s">
        <v>31</v>
      </c>
      <c r="F161" s="37" t="s">
        <v>241</v>
      </c>
      <c r="G161" s="37" t="s">
        <v>242</v>
      </c>
      <c r="H161" s="37" t="s">
        <v>15</v>
      </c>
      <c r="I161" s="37" t="s">
        <v>418</v>
      </c>
      <c r="J161" s="37" t="s">
        <v>41</v>
      </c>
      <c r="K161" s="37" t="s">
        <v>39</v>
      </c>
      <c r="L161" s="40">
        <v>5211</v>
      </c>
      <c r="M161" s="42">
        <v>59445</v>
      </c>
      <c r="N161" s="105">
        <f t="shared" si="45"/>
        <v>0.55000000000000004</v>
      </c>
      <c r="O161" s="39">
        <v>170869</v>
      </c>
      <c r="P161" s="68"/>
      <c r="Q161" s="68"/>
      <c r="R161" s="84">
        <f t="shared" si="46"/>
        <v>170869</v>
      </c>
      <c r="S161" s="51">
        <f t="shared" si="40"/>
        <v>170869</v>
      </c>
      <c r="T161" s="37">
        <v>80</v>
      </c>
      <c r="U161" s="29">
        <v>0.2</v>
      </c>
      <c r="V161" s="74">
        <v>0</v>
      </c>
      <c r="W161" s="73">
        <v>0</v>
      </c>
      <c r="X161" s="153">
        <f t="shared" si="41"/>
        <v>0</v>
      </c>
      <c r="Y161" s="132">
        <f t="shared" si="42"/>
        <v>0.55000000000000004</v>
      </c>
      <c r="Z161" s="62">
        <f t="shared" si="43"/>
        <v>0.2</v>
      </c>
    </row>
    <row r="162" spans="1:27" s="8" customFormat="1" ht="16.95" customHeight="1" x14ac:dyDescent="0.3">
      <c r="A162" s="152">
        <f t="shared" si="44"/>
        <v>32</v>
      </c>
      <c r="B162" s="7">
        <f t="shared" si="39"/>
        <v>12</v>
      </c>
      <c r="C162" s="88">
        <v>20</v>
      </c>
      <c r="D162" s="54" t="s">
        <v>56</v>
      </c>
      <c r="E162" s="37" t="s">
        <v>278</v>
      </c>
      <c r="F162" s="37" t="s">
        <v>279</v>
      </c>
      <c r="G162" s="37" t="s">
        <v>280</v>
      </c>
      <c r="H162" s="37" t="s">
        <v>16</v>
      </c>
      <c r="I162" s="37" t="s">
        <v>438</v>
      </c>
      <c r="J162" s="37" t="s">
        <v>119</v>
      </c>
      <c r="K162" s="37" t="s">
        <v>17</v>
      </c>
      <c r="L162" s="40">
        <v>3177</v>
      </c>
      <c r="M162" s="42">
        <v>55914</v>
      </c>
      <c r="N162" s="105">
        <f t="shared" si="45"/>
        <v>0.55000000000000004</v>
      </c>
      <c r="O162" s="39">
        <v>847595</v>
      </c>
      <c r="P162" s="68"/>
      <c r="Q162" s="68"/>
      <c r="R162" s="84">
        <f t="shared" si="46"/>
        <v>847595</v>
      </c>
      <c r="S162" s="51">
        <f t="shared" si="40"/>
        <v>847595</v>
      </c>
      <c r="T162" s="37">
        <v>80</v>
      </c>
      <c r="U162" s="29">
        <v>0.2</v>
      </c>
      <c r="V162" s="74">
        <v>0</v>
      </c>
      <c r="W162" s="73">
        <v>0</v>
      </c>
      <c r="X162" s="153">
        <f t="shared" si="41"/>
        <v>0</v>
      </c>
      <c r="Y162" s="132">
        <f t="shared" si="42"/>
        <v>0.55000000000000004</v>
      </c>
      <c r="Z162" s="62">
        <f t="shared" si="43"/>
        <v>0.2</v>
      </c>
    </row>
    <row r="163" spans="1:27" s="8" customFormat="1" ht="16.95" customHeight="1" x14ac:dyDescent="0.3">
      <c r="A163" s="152">
        <f t="shared" si="44"/>
        <v>30.5</v>
      </c>
      <c r="B163" s="7">
        <f t="shared" si="39"/>
        <v>10.5</v>
      </c>
      <c r="C163" s="88">
        <v>20</v>
      </c>
      <c r="D163" s="54" t="s">
        <v>56</v>
      </c>
      <c r="E163" s="37" t="s">
        <v>72</v>
      </c>
      <c r="F163" s="37" t="s">
        <v>73</v>
      </c>
      <c r="G163" s="37" t="s">
        <v>74</v>
      </c>
      <c r="H163" s="37" t="s">
        <v>15</v>
      </c>
      <c r="I163" s="37" t="s">
        <v>412</v>
      </c>
      <c r="J163" s="37" t="s">
        <v>75</v>
      </c>
      <c r="K163" s="37" t="s">
        <v>39</v>
      </c>
      <c r="L163" s="38">
        <v>846</v>
      </c>
      <c r="M163" s="39">
        <v>104000</v>
      </c>
      <c r="N163" s="105">
        <f t="shared" si="45"/>
        <v>0.55000000000000004</v>
      </c>
      <c r="O163" s="39">
        <v>934500</v>
      </c>
      <c r="P163" s="68"/>
      <c r="Q163" s="68"/>
      <c r="R163" s="84">
        <f t="shared" si="46"/>
        <v>934500</v>
      </c>
      <c r="S163" s="51">
        <f t="shared" si="40"/>
        <v>934500</v>
      </c>
      <c r="T163" s="37">
        <v>70</v>
      </c>
      <c r="U163" s="29">
        <v>0.15</v>
      </c>
      <c r="V163" s="74">
        <v>0</v>
      </c>
      <c r="W163" s="73">
        <v>0</v>
      </c>
      <c r="X163" s="153">
        <f t="shared" si="41"/>
        <v>0</v>
      </c>
      <c r="Y163" s="132">
        <f t="shared" si="42"/>
        <v>0.55000000000000004</v>
      </c>
      <c r="Z163" s="62">
        <f t="shared" si="43"/>
        <v>0.15</v>
      </c>
    </row>
    <row r="164" spans="1:27" s="8" customFormat="1" ht="16.2" customHeight="1" x14ac:dyDescent="0.3">
      <c r="A164" s="152">
        <f t="shared" si="44"/>
        <v>30.5</v>
      </c>
      <c r="B164" s="7">
        <f t="shared" si="39"/>
        <v>1.5</v>
      </c>
      <c r="C164" s="88">
        <v>29</v>
      </c>
      <c r="D164" s="54" t="s">
        <v>56</v>
      </c>
      <c r="E164" s="37" t="s">
        <v>394</v>
      </c>
      <c r="F164" s="37" t="s">
        <v>395</v>
      </c>
      <c r="G164" s="37" t="s">
        <v>396</v>
      </c>
      <c r="H164" s="37" t="s">
        <v>15</v>
      </c>
      <c r="I164" s="37" t="s">
        <v>51</v>
      </c>
      <c r="J164" s="37" t="s">
        <v>22</v>
      </c>
      <c r="K164" s="37" t="s">
        <v>39</v>
      </c>
      <c r="L164" s="40">
        <v>9305</v>
      </c>
      <c r="M164" s="41">
        <v>104179</v>
      </c>
      <c r="N164" s="105">
        <f t="shared" si="45"/>
        <v>0.55000000000000004</v>
      </c>
      <c r="O164" s="39">
        <v>1450010</v>
      </c>
      <c r="P164" s="68"/>
      <c r="Q164" s="68"/>
      <c r="R164" s="84">
        <f t="shared" si="46"/>
        <v>1450010</v>
      </c>
      <c r="S164" s="51">
        <f t="shared" si="40"/>
        <v>1450010</v>
      </c>
      <c r="T164" s="37">
        <v>10</v>
      </c>
      <c r="U164" s="29">
        <v>0</v>
      </c>
      <c r="V164" s="74">
        <v>0</v>
      </c>
      <c r="W164" s="73">
        <v>0</v>
      </c>
      <c r="X164" s="153">
        <f t="shared" si="41"/>
        <v>0</v>
      </c>
      <c r="Y164" s="132">
        <f t="shared" si="42"/>
        <v>0.55000000000000004</v>
      </c>
      <c r="Z164" s="62">
        <f t="shared" si="43"/>
        <v>0</v>
      </c>
    </row>
    <row r="165" spans="1:27" ht="14.4" x14ac:dyDescent="0.3">
      <c r="A165" s="152">
        <f t="shared" si="44"/>
        <v>25.5</v>
      </c>
      <c r="B165" s="7">
        <f t="shared" si="39"/>
        <v>10.5</v>
      </c>
      <c r="C165" s="88">
        <v>15</v>
      </c>
      <c r="D165" s="54" t="s">
        <v>56</v>
      </c>
      <c r="E165" s="37" t="s">
        <v>32</v>
      </c>
      <c r="F165" s="37" t="s">
        <v>33</v>
      </c>
      <c r="G165" s="37" t="s">
        <v>34</v>
      </c>
      <c r="H165" s="37" t="s">
        <v>15</v>
      </c>
      <c r="I165" s="37" t="s">
        <v>51</v>
      </c>
      <c r="J165" s="37" t="s">
        <v>29</v>
      </c>
      <c r="K165" s="37" t="s">
        <v>39</v>
      </c>
      <c r="L165" s="40">
        <v>1790</v>
      </c>
      <c r="M165" s="42">
        <v>77708</v>
      </c>
      <c r="N165" s="105">
        <f t="shared" si="45"/>
        <v>0.55000000000000004</v>
      </c>
      <c r="O165" s="39">
        <v>1472600</v>
      </c>
      <c r="P165" s="87"/>
      <c r="Q165" s="87"/>
      <c r="R165" s="84">
        <f t="shared" si="46"/>
        <v>1472600</v>
      </c>
      <c r="S165" s="51">
        <f t="shared" si="40"/>
        <v>1472600</v>
      </c>
      <c r="T165" s="37">
        <v>70</v>
      </c>
      <c r="U165" s="29">
        <v>0.15</v>
      </c>
      <c r="V165" s="74">
        <v>0</v>
      </c>
      <c r="W165" s="73">
        <v>0</v>
      </c>
      <c r="X165" s="153">
        <f t="shared" ref="X165:X166" si="47">V165+W165</f>
        <v>0</v>
      </c>
      <c r="Y165" s="132">
        <f t="shared" si="42"/>
        <v>0.55000000000000004</v>
      </c>
      <c r="Z165" s="62">
        <f t="shared" si="43"/>
        <v>0.15</v>
      </c>
    </row>
    <row r="166" spans="1:27" s="2" customFormat="1" ht="18.75" customHeight="1" x14ac:dyDescent="0.3">
      <c r="A166" s="152">
        <f t="shared" si="44"/>
        <v>18</v>
      </c>
      <c r="B166" s="7">
        <f t="shared" si="39"/>
        <v>3</v>
      </c>
      <c r="C166" s="88">
        <v>15</v>
      </c>
      <c r="D166" s="54" t="s">
        <v>56</v>
      </c>
      <c r="E166" s="37" t="s">
        <v>270</v>
      </c>
      <c r="F166" s="37" t="s">
        <v>271</v>
      </c>
      <c r="G166" s="37" t="s">
        <v>272</v>
      </c>
      <c r="H166" s="37" t="s">
        <v>19</v>
      </c>
      <c r="I166" s="37" t="s">
        <v>437</v>
      </c>
      <c r="J166" s="37" t="s">
        <v>113</v>
      </c>
      <c r="K166" s="37" t="s">
        <v>38</v>
      </c>
      <c r="L166" s="40">
        <v>8384</v>
      </c>
      <c r="M166" s="42">
        <v>84965</v>
      </c>
      <c r="N166" s="105">
        <f t="shared" si="45"/>
        <v>0.55000000000000004</v>
      </c>
      <c r="O166" s="39">
        <v>1050848</v>
      </c>
      <c r="P166" s="87"/>
      <c r="Q166" s="87"/>
      <c r="R166" s="84">
        <f t="shared" si="46"/>
        <v>1050848</v>
      </c>
      <c r="S166" s="51">
        <f t="shared" si="40"/>
        <v>1050848</v>
      </c>
      <c r="T166" s="37">
        <v>20</v>
      </c>
      <c r="U166" s="29">
        <v>0</v>
      </c>
      <c r="V166" s="74">
        <v>0</v>
      </c>
      <c r="W166" s="73">
        <v>0</v>
      </c>
      <c r="X166" s="153">
        <f t="shared" si="47"/>
        <v>0</v>
      </c>
      <c r="Y166" s="132">
        <f t="shared" si="42"/>
        <v>0.55000000000000004</v>
      </c>
      <c r="Z166" s="62">
        <f t="shared" si="43"/>
        <v>0</v>
      </c>
    </row>
    <row r="167" spans="1:27" s="25" customFormat="1" ht="3.6" customHeight="1" x14ac:dyDescent="0.3">
      <c r="A167" s="163"/>
      <c r="B167" s="164"/>
      <c r="C167" s="165"/>
      <c r="D167" s="166"/>
      <c r="E167" s="167"/>
      <c r="F167" s="167"/>
      <c r="G167" s="167"/>
      <c r="H167" s="167"/>
      <c r="I167" s="167"/>
      <c r="J167" s="167"/>
      <c r="K167" s="167"/>
      <c r="L167" s="168"/>
      <c r="M167" s="169"/>
      <c r="N167" s="170"/>
      <c r="O167" s="39"/>
      <c r="P167" s="87"/>
      <c r="Q167" s="87"/>
      <c r="R167" s="84"/>
      <c r="S167" s="51"/>
      <c r="T167" s="37"/>
      <c r="U167" s="29"/>
      <c r="V167" s="74"/>
      <c r="W167" s="73"/>
      <c r="X167" s="153"/>
      <c r="Y167" s="55"/>
      <c r="Z167" s="58"/>
    </row>
    <row r="168" spans="1:27" s="8" customFormat="1" ht="18.75" customHeight="1" thickBot="1" x14ac:dyDescent="0.35">
      <c r="A168" s="154"/>
      <c r="B168" s="20"/>
      <c r="C168" s="129"/>
      <c r="D168" s="20"/>
      <c r="E168" s="19"/>
      <c r="F168" s="20"/>
      <c r="G168" s="19"/>
      <c r="H168" s="20"/>
      <c r="I168" s="20"/>
      <c r="J168" s="20"/>
      <c r="K168" s="20"/>
      <c r="L168" s="21"/>
      <c r="M168" s="22"/>
      <c r="N168" s="23" t="s">
        <v>24</v>
      </c>
      <c r="O168" s="12">
        <f>SUM(O5:O166)</f>
        <v>381522790.43000001</v>
      </c>
      <c r="P168" s="83">
        <f>SUM(P5:P166)</f>
        <v>51652599</v>
      </c>
      <c r="Q168" s="83">
        <f>SUM(Q5:Q166)</f>
        <v>58018265</v>
      </c>
      <c r="R168" s="83">
        <f>SUM(R5:R166)</f>
        <v>271851926.43000001</v>
      </c>
      <c r="S168" s="12">
        <f>SUM(S5:S166)</f>
        <v>284545987.83000004</v>
      </c>
      <c r="T168" s="12"/>
      <c r="U168" s="12"/>
      <c r="V168" s="12">
        <f>SUM(V5:V166)</f>
        <v>69907340</v>
      </c>
      <c r="W168" s="12">
        <f>SUM(W5:W166)</f>
        <v>27069462.600000001</v>
      </c>
      <c r="X168" s="155">
        <f>SUM(X5:X166)</f>
        <v>96976802.599999994</v>
      </c>
      <c r="Y168" s="133">
        <f>IF(AND(L171&lt;10000,M171&lt;49397),33%,55%)</f>
        <v>0.55000000000000004</v>
      </c>
      <c r="Z168" s="29">
        <f>IF(T171&gt;=250,0.65,IF(T171&gt;=200,0.6,IF(T171&gt;=185,0.55,IF(T171&gt;=170,0.5,IF(T171&gt;=155,0.45,IF(T171&gt;=140,0.4,IF(T171&gt;=125,0.35,IF(T171&gt;=110,0.3,IF(T171&gt;=95,0.25,IF(T171&gt;=80,0.2,IF(T171&gt;=70,0.15,IF(T171&gt;=60,0.1,IF(T171&lt;60,0)))))))))))))</f>
        <v>0</v>
      </c>
    </row>
    <row r="169" spans="1:27" ht="27" customHeight="1" thickBot="1" x14ac:dyDescent="0.35">
      <c r="A169" s="319" t="s">
        <v>521</v>
      </c>
      <c r="B169" s="320"/>
      <c r="C169" s="320"/>
      <c r="D169" s="320"/>
      <c r="E169" s="320"/>
      <c r="F169" s="320"/>
      <c r="G169" s="320"/>
      <c r="H169" s="320"/>
      <c r="I169" s="320"/>
      <c r="J169" s="320"/>
      <c r="K169" s="320"/>
      <c r="L169" s="320"/>
      <c r="M169" s="320"/>
      <c r="N169" s="320"/>
      <c r="O169" s="320"/>
      <c r="P169" s="320"/>
      <c r="Q169" s="320"/>
      <c r="R169" s="320"/>
      <c r="S169" s="320"/>
      <c r="T169" s="320"/>
      <c r="U169" s="320"/>
      <c r="V169" s="320"/>
      <c r="W169" s="320"/>
      <c r="X169" s="321"/>
      <c r="Y169" s="24"/>
      <c r="Z169" s="24"/>
    </row>
    <row r="170" spans="1:27" ht="33.75" customHeight="1" x14ac:dyDescent="0.3">
      <c r="A170" s="156"/>
      <c r="B170" s="13"/>
      <c r="C170" s="130" t="s">
        <v>520</v>
      </c>
      <c r="D170" s="13" t="s">
        <v>55</v>
      </c>
      <c r="E170" s="14" t="s">
        <v>1</v>
      </c>
      <c r="F170" s="13" t="s">
        <v>2</v>
      </c>
      <c r="G170" s="43" t="s">
        <v>3</v>
      </c>
      <c r="H170" s="15" t="s">
        <v>4</v>
      </c>
      <c r="I170" s="15" t="s">
        <v>49</v>
      </c>
      <c r="J170" s="13" t="s">
        <v>5</v>
      </c>
      <c r="K170" s="15" t="s">
        <v>6</v>
      </c>
      <c r="L170" s="16" t="s">
        <v>7</v>
      </c>
      <c r="M170" s="17" t="s">
        <v>491</v>
      </c>
      <c r="N170" s="18" t="s">
        <v>488</v>
      </c>
      <c r="O170" s="17" t="s">
        <v>8</v>
      </c>
      <c r="P170" s="66" t="s">
        <v>489</v>
      </c>
      <c r="Q170" s="66" t="s">
        <v>493</v>
      </c>
      <c r="R170" s="66" t="s">
        <v>451</v>
      </c>
      <c r="S170" s="17" t="s">
        <v>9</v>
      </c>
      <c r="T170" s="13"/>
      <c r="U170" s="18" t="s">
        <v>11</v>
      </c>
      <c r="V170" s="71" t="s">
        <v>519</v>
      </c>
      <c r="W170" s="72" t="s">
        <v>458</v>
      </c>
      <c r="X170" s="162" t="s">
        <v>490</v>
      </c>
    </row>
    <row r="171" spans="1:27" ht="14.4" x14ac:dyDescent="0.3">
      <c r="A171" s="152"/>
      <c r="B171" s="7"/>
      <c r="C171" s="85">
        <v>45110</v>
      </c>
      <c r="D171" s="53" t="s">
        <v>56</v>
      </c>
      <c r="E171" s="28" t="s">
        <v>593</v>
      </c>
      <c r="F171" s="28" t="s">
        <v>303</v>
      </c>
      <c r="G171" s="28" t="s">
        <v>304</v>
      </c>
      <c r="H171" s="28" t="s">
        <v>19</v>
      </c>
      <c r="I171" s="28" t="s">
        <v>423</v>
      </c>
      <c r="J171" s="28" t="s">
        <v>14</v>
      </c>
      <c r="K171" s="28" t="s">
        <v>38</v>
      </c>
      <c r="L171" s="36">
        <v>12853</v>
      </c>
      <c r="M171" s="35">
        <v>70333</v>
      </c>
      <c r="N171" s="30">
        <f>Y168</f>
        <v>0.55000000000000004</v>
      </c>
      <c r="O171" s="34">
        <v>20122241</v>
      </c>
      <c r="P171" s="67"/>
      <c r="Q171" s="67"/>
      <c r="R171" s="78">
        <f>O171-P171-Q171</f>
        <v>20122241</v>
      </c>
      <c r="S171" s="50">
        <f>O171-X171</f>
        <v>20122241</v>
      </c>
      <c r="T171" s="28"/>
      <c r="U171" s="29">
        <v>0</v>
      </c>
      <c r="V171" s="74">
        <v>0</v>
      </c>
      <c r="W171" s="73">
        <f>ROUNDUP((R171*U171),0)</f>
        <v>0</v>
      </c>
      <c r="X171" s="157">
        <f>V171+W171</f>
        <v>0</v>
      </c>
    </row>
    <row r="172" spans="1:27" ht="16.2" x14ac:dyDescent="0.3">
      <c r="A172" s="158"/>
      <c r="B172" s="7"/>
      <c r="C172" s="85">
        <v>45195</v>
      </c>
      <c r="D172" s="54" t="s">
        <v>68</v>
      </c>
      <c r="E172" s="37" t="s">
        <v>474</v>
      </c>
      <c r="F172" s="37" t="s">
        <v>446</v>
      </c>
      <c r="G172" s="86" t="s">
        <v>447</v>
      </c>
      <c r="H172" s="37" t="s">
        <v>19</v>
      </c>
      <c r="I172" s="37" t="s">
        <v>437</v>
      </c>
      <c r="J172" s="45" t="s">
        <v>43</v>
      </c>
      <c r="K172" s="37" t="s">
        <v>38</v>
      </c>
      <c r="L172" s="40">
        <v>18485</v>
      </c>
      <c r="M172" s="42">
        <v>95914</v>
      </c>
      <c r="N172" s="52" t="s">
        <v>456</v>
      </c>
      <c r="O172" s="81">
        <v>315000</v>
      </c>
      <c r="P172" s="87"/>
      <c r="Q172" s="87"/>
      <c r="R172" s="84">
        <f>O172-P172-Q172</f>
        <v>315000</v>
      </c>
      <c r="S172" s="51">
        <f>O172-X172</f>
        <v>315000</v>
      </c>
      <c r="T172" s="37"/>
      <c r="U172" s="29">
        <v>0</v>
      </c>
      <c r="V172" s="74">
        <v>0</v>
      </c>
      <c r="W172" s="73">
        <f>ROUNDUP((R172*U172),0)</f>
        <v>0</v>
      </c>
      <c r="X172" s="157">
        <f>V172+W172</f>
        <v>0</v>
      </c>
    </row>
    <row r="173" spans="1:27" ht="16.2" x14ac:dyDescent="0.3">
      <c r="A173" s="299"/>
      <c r="B173" s="299"/>
      <c r="C173" s="300">
        <v>45295</v>
      </c>
      <c r="D173" s="259" t="s">
        <v>56</v>
      </c>
      <c r="E173" s="28" t="s">
        <v>474</v>
      </c>
      <c r="F173" s="28" t="s">
        <v>594</v>
      </c>
      <c r="G173" s="301" t="s">
        <v>595</v>
      </c>
      <c r="H173" s="28" t="s">
        <v>19</v>
      </c>
      <c r="I173" s="28" t="s">
        <v>437</v>
      </c>
      <c r="J173" s="207" t="s">
        <v>43</v>
      </c>
      <c r="K173" s="28" t="s">
        <v>38</v>
      </c>
      <c r="L173" s="40">
        <v>18485</v>
      </c>
      <c r="M173" s="42">
        <v>95914</v>
      </c>
      <c r="N173" s="30">
        <v>0.55000000000000004</v>
      </c>
      <c r="O173" s="81">
        <v>6000000</v>
      </c>
      <c r="P173" s="87"/>
      <c r="Q173" s="87"/>
      <c r="R173" s="78"/>
      <c r="S173" s="50">
        <v>6000000</v>
      </c>
      <c r="T173" s="28"/>
      <c r="U173" s="29">
        <v>0</v>
      </c>
      <c r="V173" s="74">
        <v>0</v>
      </c>
      <c r="W173" s="73">
        <f>ROUNDUP((R173*U173),0)</f>
        <v>0</v>
      </c>
      <c r="X173" s="254">
        <f>V173+W173</f>
        <v>0</v>
      </c>
    </row>
    <row r="174" spans="1:27" ht="16.2" x14ac:dyDescent="0.3">
      <c r="A174" s="299"/>
      <c r="B174" s="299"/>
      <c r="C174" s="302">
        <v>45321</v>
      </c>
      <c r="D174" s="303" t="s">
        <v>56</v>
      </c>
      <c r="E174" s="304" t="s">
        <v>474</v>
      </c>
      <c r="F174" s="304" t="s">
        <v>596</v>
      </c>
      <c r="G174" s="305" t="s">
        <v>597</v>
      </c>
      <c r="H174" s="304" t="s">
        <v>19</v>
      </c>
      <c r="I174" s="304" t="s">
        <v>437</v>
      </c>
      <c r="J174" s="306" t="s">
        <v>43</v>
      </c>
      <c r="K174" s="304" t="s">
        <v>38</v>
      </c>
      <c r="L174" s="307">
        <v>18485</v>
      </c>
      <c r="M174" s="308">
        <v>95914</v>
      </c>
      <c r="N174" s="309">
        <v>0.55000000000000004</v>
      </c>
      <c r="O174" s="310">
        <v>1901046</v>
      </c>
      <c r="P174" s="311"/>
      <c r="Q174" s="311"/>
      <c r="R174" s="312"/>
      <c r="S174" s="310">
        <v>1901046</v>
      </c>
      <c r="T174" s="304"/>
      <c r="U174" s="313">
        <v>0</v>
      </c>
      <c r="V174" s="314">
        <v>0</v>
      </c>
      <c r="W174" s="315">
        <f>ROUNDUP((R174*U174),0)</f>
        <v>0</v>
      </c>
      <c r="X174" s="316">
        <f>V174+W174</f>
        <v>0</v>
      </c>
    </row>
    <row r="175" spans="1:27" ht="14.4" x14ac:dyDescent="0.3">
      <c r="A175" s="154"/>
      <c r="B175" s="20"/>
      <c r="C175" s="129"/>
      <c r="D175" s="20"/>
      <c r="E175" s="19"/>
      <c r="F175" s="20"/>
      <c r="G175" s="19"/>
      <c r="H175" s="20"/>
      <c r="I175" s="20"/>
      <c r="J175" s="20"/>
      <c r="K175" s="20"/>
      <c r="L175" s="21"/>
      <c r="M175" s="22"/>
      <c r="N175" s="23" t="s">
        <v>24</v>
      </c>
      <c r="O175" s="12">
        <f>O171+O172</f>
        <v>20437241</v>
      </c>
      <c r="P175" s="83">
        <f>SUM(P11:P170)</f>
        <v>89956200</v>
      </c>
      <c r="Q175" s="83">
        <f>SUM(Q11:Q170)</f>
        <v>116036530</v>
      </c>
      <c r="R175" s="83">
        <f>SUM(R11:R170)</f>
        <v>531597976.86000001</v>
      </c>
      <c r="S175" s="12">
        <f>S171+S172</f>
        <v>20437241</v>
      </c>
      <c r="T175" s="12"/>
      <c r="U175" s="12"/>
      <c r="V175" s="12">
        <v>0</v>
      </c>
      <c r="W175" s="12">
        <v>0</v>
      </c>
      <c r="X175" s="155">
        <v>0</v>
      </c>
    </row>
    <row r="176" spans="1:27" ht="14.4" x14ac:dyDescent="0.3">
      <c r="A176" s="323" t="s">
        <v>494</v>
      </c>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25"/>
      <c r="Z176" s="174"/>
      <c r="AA176" s="25"/>
    </row>
    <row r="177" spans="1:27" ht="14.4" x14ac:dyDescent="0.3">
      <c r="A177" s="323" t="s">
        <v>518</v>
      </c>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25"/>
      <c r="Z177" s="174"/>
      <c r="AA177" s="25"/>
    </row>
    <row r="178" spans="1:27" ht="15.6" x14ac:dyDescent="0.25">
      <c r="A178" s="324" t="s">
        <v>401</v>
      </c>
      <c r="B178" s="324"/>
      <c r="C178" s="324"/>
      <c r="D178" s="324"/>
      <c r="E178" s="324"/>
      <c r="F178" s="324"/>
      <c r="G178" s="324"/>
      <c r="H178" s="324"/>
      <c r="I178" s="324"/>
      <c r="J178" s="324"/>
      <c r="K178" s="324"/>
      <c r="L178" s="324"/>
      <c r="M178" s="324"/>
      <c r="N178" s="324"/>
      <c r="O178" s="324"/>
      <c r="P178" s="324"/>
      <c r="Q178" s="324"/>
      <c r="R178" s="324"/>
      <c r="S178" s="324"/>
      <c r="T178" s="324"/>
      <c r="U178" s="324"/>
      <c r="V178" s="324"/>
      <c r="W178" s="324"/>
      <c r="X178" s="324"/>
      <c r="Y178" s="25"/>
      <c r="Z178" s="174"/>
      <c r="AA178" s="25"/>
    </row>
    <row r="179" spans="1:27" ht="15.6" x14ac:dyDescent="0.25">
      <c r="A179" s="322" t="s">
        <v>527</v>
      </c>
      <c r="B179" s="322"/>
      <c r="C179" s="322"/>
      <c r="D179" s="322"/>
      <c r="E179" s="322"/>
      <c r="F179" s="322"/>
      <c r="G179" s="322"/>
      <c r="H179" s="322"/>
      <c r="I179" s="322"/>
      <c r="J179" s="322"/>
      <c r="K179" s="322"/>
      <c r="L179" s="322"/>
      <c r="M179" s="322"/>
      <c r="N179" s="322"/>
      <c r="O179" s="322"/>
      <c r="P179" s="322"/>
      <c r="Q179" s="322"/>
      <c r="R179" s="322"/>
      <c r="S179" s="322"/>
      <c r="T179" s="322"/>
      <c r="U179" s="322"/>
      <c r="V179" s="322"/>
      <c r="W179" s="322"/>
      <c r="X179" s="322"/>
      <c r="Y179" s="25"/>
      <c r="Z179" s="174"/>
      <c r="AA179" s="25"/>
    </row>
    <row r="180" spans="1:27" ht="15.6" x14ac:dyDescent="0.25">
      <c r="A180" s="322" t="s">
        <v>492</v>
      </c>
      <c r="B180" s="322"/>
      <c r="C180" s="322"/>
      <c r="D180" s="322"/>
      <c r="E180" s="322"/>
      <c r="F180" s="322"/>
      <c r="G180" s="322"/>
      <c r="H180" s="322"/>
      <c r="I180" s="322"/>
      <c r="J180" s="322"/>
      <c r="K180" s="322"/>
      <c r="L180" s="322"/>
      <c r="M180" s="322"/>
      <c r="N180" s="322"/>
      <c r="O180" s="322"/>
      <c r="P180" s="322"/>
      <c r="Q180" s="322"/>
      <c r="R180" s="322"/>
      <c r="S180" s="322"/>
      <c r="T180" s="322"/>
      <c r="U180" s="322"/>
      <c r="V180" s="322"/>
      <c r="W180" s="322"/>
      <c r="X180" s="322"/>
      <c r="Y180" s="25"/>
      <c r="Z180" s="174"/>
      <c r="AA180" s="25"/>
    </row>
    <row r="181" spans="1:27" ht="15.6" x14ac:dyDescent="0.25">
      <c r="A181" s="322" t="s">
        <v>47</v>
      </c>
      <c r="B181" s="322"/>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25"/>
      <c r="Z181" s="174"/>
      <c r="AA181" s="25"/>
    </row>
    <row r="182" spans="1:27" ht="15.6" x14ac:dyDescent="0.25">
      <c r="A182" s="322" t="s">
        <v>487</v>
      </c>
      <c r="B182" s="322"/>
      <c r="C182" s="322"/>
      <c r="D182" s="322"/>
      <c r="E182" s="322"/>
      <c r="F182" s="322"/>
      <c r="G182" s="322"/>
      <c r="H182" s="322"/>
      <c r="I182" s="322"/>
      <c r="J182" s="322"/>
      <c r="K182" s="322"/>
      <c r="L182" s="322"/>
      <c r="M182" s="322"/>
      <c r="N182" s="322"/>
      <c r="O182" s="322"/>
      <c r="P182" s="322"/>
      <c r="Q182" s="322"/>
      <c r="R182" s="322"/>
      <c r="S182" s="322"/>
      <c r="T182" s="322"/>
      <c r="U182" s="322"/>
      <c r="V182" s="322"/>
      <c r="W182" s="322"/>
      <c r="X182" s="322"/>
      <c r="Y182" s="25"/>
      <c r="Z182" s="174"/>
      <c r="AA182" s="25"/>
    </row>
    <row r="183" spans="1:27" ht="15.6" x14ac:dyDescent="0.25">
      <c r="A183" s="322" t="s">
        <v>526</v>
      </c>
      <c r="B183" s="322"/>
      <c r="C183" s="322"/>
      <c r="D183" s="322"/>
      <c r="E183" s="322"/>
      <c r="F183" s="322"/>
      <c r="G183" s="322"/>
      <c r="H183" s="322"/>
      <c r="I183" s="322"/>
      <c r="J183" s="322"/>
      <c r="K183" s="322"/>
      <c r="L183" s="322"/>
      <c r="M183" s="322"/>
      <c r="N183" s="322"/>
      <c r="O183" s="322"/>
      <c r="P183" s="322"/>
      <c r="Q183" s="322"/>
      <c r="R183" s="322"/>
      <c r="S183" s="322"/>
      <c r="T183" s="322"/>
      <c r="U183" s="322"/>
      <c r="V183" s="322"/>
      <c r="W183" s="322"/>
      <c r="X183" s="322"/>
      <c r="Y183" s="25"/>
      <c r="Z183" s="174"/>
      <c r="AA183" s="25"/>
    </row>
    <row r="184" spans="1:27" ht="15.6" x14ac:dyDescent="0.25">
      <c r="A184" s="322" t="s">
        <v>486</v>
      </c>
      <c r="B184" s="322"/>
      <c r="C184" s="322"/>
      <c r="D184" s="322"/>
      <c r="E184" s="322"/>
      <c r="F184" s="322"/>
      <c r="G184" s="322"/>
      <c r="H184" s="322"/>
      <c r="I184" s="322"/>
      <c r="J184" s="322"/>
      <c r="K184" s="322"/>
      <c r="L184" s="322"/>
      <c r="M184" s="322"/>
      <c r="N184" s="322"/>
      <c r="O184" s="322"/>
      <c r="P184" s="322"/>
      <c r="Q184" s="322"/>
      <c r="R184" s="322"/>
      <c r="S184" s="322"/>
      <c r="T184" s="322"/>
      <c r="U184" s="322"/>
      <c r="V184" s="322"/>
      <c r="W184" s="322"/>
      <c r="X184" s="322"/>
      <c r="Y184" s="25"/>
      <c r="Z184" s="174"/>
      <c r="AA184" s="25"/>
    </row>
    <row r="185" spans="1:27" s="288" customFormat="1" ht="16.95" customHeight="1" x14ac:dyDescent="0.25">
      <c r="A185" s="318" t="s">
        <v>588</v>
      </c>
      <c r="B185" s="318"/>
      <c r="C185" s="318"/>
      <c r="D185" s="318"/>
      <c r="E185" s="318"/>
      <c r="F185" s="318"/>
      <c r="G185" s="318"/>
      <c r="H185" s="318"/>
      <c r="I185" s="318"/>
      <c r="J185" s="318"/>
      <c r="K185" s="318"/>
      <c r="L185" s="318"/>
      <c r="M185" s="318"/>
      <c r="N185" s="318"/>
      <c r="O185" s="318"/>
      <c r="P185" s="318"/>
      <c r="Q185" s="318"/>
      <c r="R185" s="318"/>
      <c r="S185" s="318"/>
      <c r="T185" s="318"/>
      <c r="U185" s="318"/>
      <c r="V185" s="318"/>
      <c r="W185" s="318"/>
      <c r="X185" s="318"/>
      <c r="Y185" s="289"/>
      <c r="Z185" s="290"/>
      <c r="AA185" s="289"/>
    </row>
    <row r="186" spans="1:27" x14ac:dyDescent="0.25">
      <c r="A186" s="291"/>
      <c r="B186" s="291"/>
      <c r="C186" s="292"/>
      <c r="D186" s="291"/>
      <c r="E186" s="25"/>
      <c r="F186" s="291"/>
      <c r="G186" s="25"/>
      <c r="H186" s="291"/>
      <c r="I186" s="291"/>
      <c r="J186" s="291"/>
      <c r="K186" s="291"/>
      <c r="L186" s="293"/>
      <c r="M186" s="171"/>
      <c r="N186" s="174"/>
      <c r="O186" s="171"/>
      <c r="P186" s="294"/>
      <c r="Q186" s="171"/>
      <c r="R186" s="295"/>
      <c r="S186" s="171"/>
      <c r="T186" s="291"/>
      <c r="U186" s="174"/>
      <c r="V186" s="296"/>
      <c r="W186" s="297"/>
      <c r="X186" s="298"/>
      <c r="Y186" s="25"/>
      <c r="Z186" s="174"/>
      <c r="AA186" s="25"/>
    </row>
    <row r="187" spans="1:27" x14ac:dyDescent="0.25">
      <c r="A187" s="291"/>
      <c r="B187" s="291"/>
      <c r="C187" s="292"/>
      <c r="D187" s="291"/>
      <c r="E187" s="25"/>
      <c r="F187" s="291"/>
      <c r="G187" s="25"/>
      <c r="H187" s="291"/>
      <c r="I187" s="291"/>
      <c r="J187" s="291"/>
      <c r="K187" s="291"/>
      <c r="L187" s="293"/>
      <c r="M187" s="171"/>
      <c r="N187" s="174"/>
      <c r="O187" s="171"/>
      <c r="P187" s="294"/>
      <c r="Q187" s="171"/>
      <c r="R187" s="295"/>
      <c r="S187" s="171"/>
      <c r="T187" s="291"/>
      <c r="U187" s="174"/>
      <c r="V187" s="296"/>
      <c r="W187" s="297"/>
      <c r="X187" s="298"/>
      <c r="Y187" s="25"/>
      <c r="Z187" s="174"/>
      <c r="AA187" s="25"/>
    </row>
    <row r="188" spans="1:27" x14ac:dyDescent="0.25">
      <c r="A188" s="291"/>
      <c r="B188" s="291"/>
      <c r="C188" s="292"/>
      <c r="D188" s="291"/>
      <c r="E188" s="25"/>
      <c r="F188" s="291"/>
      <c r="G188" s="25"/>
      <c r="H188" s="291"/>
      <c r="I188" s="291"/>
      <c r="J188" s="291"/>
      <c r="K188" s="291"/>
      <c r="L188" s="293"/>
      <c r="M188" s="171"/>
      <c r="N188" s="174"/>
      <c r="O188" s="171"/>
      <c r="P188" s="294"/>
      <c r="Q188" s="171"/>
      <c r="R188" s="295"/>
      <c r="S188" s="171"/>
      <c r="T188" s="291"/>
      <c r="U188" s="174"/>
      <c r="V188" s="296"/>
      <c r="W188" s="297"/>
      <c r="X188" s="298"/>
      <c r="Y188" s="25"/>
      <c r="Z188" s="174"/>
      <c r="AA188" s="25"/>
    </row>
    <row r="189" spans="1:27" x14ac:dyDescent="0.25">
      <c r="A189" s="291"/>
      <c r="B189" s="291"/>
      <c r="C189" s="292"/>
      <c r="D189" s="291"/>
      <c r="E189" s="25"/>
      <c r="F189" s="291"/>
      <c r="G189" s="25"/>
      <c r="H189" s="291"/>
      <c r="I189" s="291"/>
      <c r="J189" s="291"/>
      <c r="K189" s="291"/>
      <c r="L189" s="293"/>
      <c r="M189" s="171"/>
      <c r="N189" s="174"/>
      <c r="O189" s="171"/>
      <c r="P189" s="294"/>
      <c r="Q189" s="171"/>
      <c r="R189" s="295"/>
      <c r="S189" s="171"/>
      <c r="T189" s="291"/>
      <c r="U189" s="174"/>
      <c r="V189" s="296"/>
      <c r="W189" s="297"/>
      <c r="X189" s="298"/>
      <c r="Y189" s="25"/>
      <c r="Z189" s="174"/>
      <c r="AA189" s="25"/>
    </row>
    <row r="190" spans="1:27" x14ac:dyDescent="0.25">
      <c r="A190" s="291"/>
      <c r="B190" s="291"/>
      <c r="C190" s="292"/>
      <c r="D190" s="291"/>
      <c r="E190" s="25"/>
      <c r="F190" s="291"/>
      <c r="G190" s="25"/>
      <c r="H190" s="291"/>
      <c r="I190" s="291"/>
      <c r="J190" s="291"/>
      <c r="K190" s="291"/>
      <c r="L190" s="293"/>
      <c r="M190" s="171"/>
      <c r="N190" s="174"/>
      <c r="O190" s="171"/>
      <c r="P190" s="294"/>
      <c r="Q190" s="171"/>
      <c r="R190" s="295"/>
      <c r="S190" s="171"/>
      <c r="T190" s="291"/>
      <c r="U190" s="174"/>
      <c r="V190" s="296"/>
      <c r="W190" s="297"/>
      <c r="X190" s="298"/>
      <c r="Y190" s="25"/>
      <c r="Z190" s="174"/>
      <c r="AA190" s="25"/>
    </row>
    <row r="191" spans="1:27" x14ac:dyDescent="0.25">
      <c r="A191" s="291"/>
      <c r="B191" s="291"/>
      <c r="C191" s="292"/>
      <c r="D191" s="291"/>
      <c r="E191" s="25"/>
      <c r="F191" s="291"/>
      <c r="G191" s="25"/>
      <c r="H191" s="291"/>
      <c r="I191" s="291"/>
      <c r="J191" s="291"/>
      <c r="K191" s="291"/>
      <c r="L191" s="293"/>
      <c r="M191" s="171"/>
      <c r="N191" s="174"/>
      <c r="O191" s="171"/>
      <c r="P191" s="294"/>
      <c r="Q191" s="171"/>
      <c r="R191" s="295"/>
      <c r="S191" s="171"/>
      <c r="T191" s="291"/>
      <c r="U191" s="174"/>
      <c r="V191" s="296"/>
      <c r="W191" s="297"/>
      <c r="X191" s="298"/>
      <c r="Y191" s="25"/>
      <c r="Z191" s="174"/>
      <c r="AA191" s="25"/>
    </row>
    <row r="192" spans="1:27" x14ac:dyDescent="0.25">
      <c r="A192" s="291"/>
      <c r="B192" s="291"/>
      <c r="C192" s="292"/>
      <c r="D192" s="291"/>
      <c r="E192" s="25"/>
      <c r="F192" s="291"/>
      <c r="G192" s="25"/>
      <c r="H192" s="291"/>
      <c r="I192" s="291"/>
      <c r="J192" s="291"/>
      <c r="K192" s="291"/>
      <c r="L192" s="293"/>
      <c r="M192" s="171"/>
      <c r="N192" s="174"/>
      <c r="O192" s="171"/>
      <c r="P192" s="294"/>
      <c r="Q192" s="171"/>
      <c r="R192" s="295"/>
      <c r="S192" s="171"/>
      <c r="T192" s="291"/>
      <c r="U192" s="174"/>
      <c r="V192" s="296"/>
      <c r="W192" s="297"/>
      <c r="X192" s="298"/>
      <c r="Y192" s="25"/>
      <c r="Z192" s="174"/>
      <c r="AA192" s="25"/>
    </row>
    <row r="193" spans="1:27" x14ac:dyDescent="0.25">
      <c r="A193" s="291"/>
      <c r="B193" s="291"/>
      <c r="C193" s="292"/>
      <c r="D193" s="291"/>
      <c r="E193" s="25"/>
      <c r="F193" s="291"/>
      <c r="G193" s="25"/>
      <c r="H193" s="291"/>
      <c r="I193" s="291"/>
      <c r="J193" s="291"/>
      <c r="K193" s="291"/>
      <c r="L193" s="293"/>
      <c r="M193" s="171"/>
      <c r="N193" s="174"/>
      <c r="O193" s="171"/>
      <c r="P193" s="294"/>
      <c r="Q193" s="171"/>
      <c r="R193" s="295"/>
      <c r="S193" s="171"/>
      <c r="T193" s="291"/>
      <c r="U193" s="174"/>
      <c r="V193" s="296"/>
      <c r="W193" s="297"/>
      <c r="X193" s="298"/>
      <c r="Y193" s="25"/>
      <c r="Z193" s="174"/>
      <c r="AA193" s="25"/>
    </row>
    <row r="194" spans="1:27" x14ac:dyDescent="0.25">
      <c r="A194" s="291"/>
      <c r="B194" s="291"/>
      <c r="C194" s="292"/>
      <c r="D194" s="291"/>
      <c r="E194" s="25"/>
      <c r="F194" s="291"/>
      <c r="G194" s="25"/>
      <c r="H194" s="291"/>
      <c r="I194" s="291"/>
      <c r="J194" s="291"/>
      <c r="K194" s="291"/>
      <c r="L194" s="293"/>
      <c r="M194" s="171"/>
      <c r="N194" s="174"/>
      <c r="O194" s="171"/>
      <c r="P194" s="294"/>
      <c r="Q194" s="171"/>
      <c r="R194" s="295"/>
      <c r="S194" s="171"/>
      <c r="T194" s="291"/>
      <c r="U194" s="174"/>
      <c r="V194" s="296"/>
      <c r="W194" s="297"/>
      <c r="X194" s="298"/>
      <c r="Y194" s="25"/>
      <c r="Z194" s="174"/>
      <c r="AA194" s="25"/>
    </row>
  </sheetData>
  <autoFilter ref="A4:Z166" xr:uid="{FE079534-F4B9-4902-9EE7-3E76C654AF00}">
    <sortState xmlns:xlrd2="http://schemas.microsoft.com/office/spreadsheetml/2017/richdata2" ref="A5:Z166">
      <sortCondition descending="1" ref="A4:A166"/>
    </sortState>
  </autoFilter>
  <mergeCells count="11">
    <mergeCell ref="A185:X185"/>
    <mergeCell ref="A169:X169"/>
    <mergeCell ref="A181:X181"/>
    <mergeCell ref="A182:X182"/>
    <mergeCell ref="A183:X183"/>
    <mergeCell ref="A184:X184"/>
    <mergeCell ref="A176:X176"/>
    <mergeCell ref="A177:X177"/>
    <mergeCell ref="A178:X178"/>
    <mergeCell ref="A179:X179"/>
    <mergeCell ref="A180:X180"/>
  </mergeCells>
  <pageMargins left="0.7" right="0.7" top="0.75" bottom="0.75" header="0.3" footer="0.3"/>
  <pageSetup paperSize="17" scale="64" fitToHeight="0" orientation="landscape" r:id="rId1"/>
  <headerFooter>
    <oddHeader xml:space="preserve">&amp;C&amp;"Arial,Bold"&amp;12SDWLP SFY 2024 FINAL FUNDING LIST &amp;10
Updated February 28, 2024 </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2E2-9383-434B-9B46-EA2BF2B6D561}">
  <sheetPr>
    <tabColor theme="9" tint="0.39997558519241921"/>
    <pageSetUpPr fitToPage="1"/>
  </sheetPr>
  <dimension ref="A1:EE56"/>
  <sheetViews>
    <sheetView topLeftCell="E1" zoomScaleNormal="100" workbookViewId="0">
      <selection activeCell="U1" sqref="U1:V1048576"/>
    </sheetView>
  </sheetViews>
  <sheetFormatPr defaultRowHeight="13.2" x14ac:dyDescent="0.25"/>
  <cols>
    <col min="1" max="1" width="9.33203125" style="3" customWidth="1"/>
    <col min="2" max="2" width="27" customWidth="1"/>
    <col min="3" max="3" width="8.6640625" style="3" customWidth="1"/>
    <col min="4" max="4" width="32.6640625" customWidth="1"/>
    <col min="5" max="5" width="14" style="3" customWidth="1"/>
    <col min="6" max="6" width="10" style="3" customWidth="1"/>
    <col min="7" max="7" width="14.88671875" style="5" customWidth="1"/>
    <col min="8" max="8" width="11.33203125" style="75" customWidth="1"/>
    <col min="9" max="10" width="14.88671875" style="5" customWidth="1"/>
    <col min="11" max="11" width="8.6640625" style="284" customWidth="1"/>
    <col min="12" max="12" width="8.33203125" style="285" customWidth="1"/>
    <col min="13" max="13" width="13.109375" style="5" customWidth="1"/>
    <col min="14" max="14" width="14.33203125" style="5" customWidth="1"/>
    <col min="15" max="15" width="8.44140625" style="286" customWidth="1"/>
    <col min="16" max="16" width="7.6640625" style="285" customWidth="1"/>
    <col min="17" max="18" width="14.33203125" style="5" customWidth="1"/>
    <col min="19" max="19" width="13.5546875" style="61" customWidth="1"/>
    <col min="20" max="20" width="13.5546875" style="287" customWidth="1"/>
    <col min="21" max="23" width="13.5546875" customWidth="1"/>
  </cols>
  <sheetData>
    <row r="1" spans="1:135" ht="14.4" x14ac:dyDescent="0.3">
      <c r="A1" s="134"/>
      <c r="B1" s="137"/>
      <c r="C1" s="135"/>
      <c r="D1" s="137"/>
      <c r="E1" s="135"/>
      <c r="F1" s="135"/>
      <c r="G1" s="141"/>
      <c r="H1" s="144"/>
      <c r="I1" s="141"/>
      <c r="J1" s="141"/>
      <c r="K1" s="221"/>
      <c r="L1" s="222"/>
      <c r="M1" s="139"/>
      <c r="N1" s="139"/>
      <c r="O1" s="223"/>
      <c r="P1" s="222"/>
      <c r="Q1" s="139"/>
      <c r="R1" s="139"/>
      <c r="S1" s="224"/>
      <c r="T1" s="225"/>
    </row>
    <row r="2" spans="1:135" ht="14.4" x14ac:dyDescent="0.3">
      <c r="A2" s="146"/>
      <c r="B2" s="178"/>
      <c r="C2" s="179"/>
      <c r="D2" s="181" t="s">
        <v>552</v>
      </c>
      <c r="E2" s="179"/>
      <c r="F2" s="179"/>
      <c r="G2" s="27"/>
      <c r="H2" s="182"/>
      <c r="I2" s="27"/>
      <c r="J2" s="44" t="s">
        <v>553</v>
      </c>
      <c r="K2" s="226"/>
      <c r="L2" s="227"/>
      <c r="M2" s="112"/>
      <c r="N2" s="112"/>
      <c r="O2" s="228"/>
      <c r="P2" s="227"/>
      <c r="Q2" s="112"/>
      <c r="R2" s="112"/>
      <c r="S2" s="229"/>
      <c r="T2" s="230"/>
    </row>
    <row r="3" spans="1:135" ht="14.4" x14ac:dyDescent="0.3">
      <c r="A3" s="186"/>
      <c r="B3" s="188"/>
      <c r="C3" s="187"/>
      <c r="D3" s="188"/>
      <c r="E3" s="187"/>
      <c r="F3" s="187"/>
      <c r="G3" s="231"/>
      <c r="H3" s="232"/>
      <c r="I3" s="231"/>
      <c r="J3" s="231"/>
      <c r="K3" s="233"/>
      <c r="L3" s="234"/>
      <c r="M3" s="190"/>
      <c r="N3" s="190"/>
      <c r="O3" s="235"/>
      <c r="P3" s="234"/>
      <c r="Q3" s="190"/>
      <c r="R3" s="190"/>
      <c r="S3" s="236"/>
      <c r="T3" s="230"/>
    </row>
    <row r="4" spans="1:135" ht="16.2" customHeight="1" x14ac:dyDescent="0.25">
      <c r="A4" s="351" t="s">
        <v>554</v>
      </c>
      <c r="B4" s="326" t="s">
        <v>1</v>
      </c>
      <c r="C4" s="325" t="s">
        <v>2</v>
      </c>
      <c r="D4" s="326" t="s">
        <v>3</v>
      </c>
      <c r="E4" s="325" t="s">
        <v>5</v>
      </c>
      <c r="F4" s="326" t="s">
        <v>6</v>
      </c>
      <c r="G4" s="340" t="s">
        <v>555</v>
      </c>
      <c r="H4" s="341" t="s">
        <v>532</v>
      </c>
      <c r="I4" s="342" t="s">
        <v>9</v>
      </c>
      <c r="J4" s="344" t="s">
        <v>556</v>
      </c>
      <c r="K4" s="345"/>
      <c r="L4" s="345"/>
      <c r="M4" s="345"/>
      <c r="N4" s="346" t="s">
        <v>557</v>
      </c>
      <c r="O4" s="347"/>
      <c r="P4" s="347"/>
      <c r="Q4" s="348"/>
      <c r="R4" s="349" t="s">
        <v>458</v>
      </c>
      <c r="S4" s="333" t="s">
        <v>558</v>
      </c>
      <c r="T4" s="334" t="s">
        <v>559</v>
      </c>
    </row>
    <row r="5" spans="1:135" s="2" customFormat="1" ht="52.2" customHeight="1" x14ac:dyDescent="0.3">
      <c r="A5" s="351"/>
      <c r="B5" s="326"/>
      <c r="C5" s="325"/>
      <c r="D5" s="326"/>
      <c r="E5" s="325"/>
      <c r="F5" s="326"/>
      <c r="G5" s="340"/>
      <c r="H5" s="341"/>
      <c r="I5" s="343"/>
      <c r="J5" s="237" t="s">
        <v>560</v>
      </c>
      <c r="K5" s="238" t="s">
        <v>10</v>
      </c>
      <c r="L5" s="239" t="s">
        <v>561</v>
      </c>
      <c r="M5" s="237" t="s">
        <v>562</v>
      </c>
      <c r="N5" s="240" t="s">
        <v>563</v>
      </c>
      <c r="O5" s="241" t="s">
        <v>10</v>
      </c>
      <c r="P5" s="242" t="s">
        <v>564</v>
      </c>
      <c r="Q5" s="240" t="s">
        <v>565</v>
      </c>
      <c r="R5" s="350"/>
      <c r="S5" s="333"/>
      <c r="T5" s="334"/>
      <c r="U5" s="243" t="s">
        <v>566</v>
      </c>
      <c r="V5" s="243" t="s">
        <v>567</v>
      </c>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row>
    <row r="6" spans="1:135" ht="16.95" customHeight="1" x14ac:dyDescent="0.3">
      <c r="A6" s="244">
        <v>299</v>
      </c>
      <c r="B6" s="28" t="s">
        <v>460</v>
      </c>
      <c r="C6" s="28" t="s">
        <v>178</v>
      </c>
      <c r="D6" s="37" t="s">
        <v>570</v>
      </c>
      <c r="E6" s="28" t="s">
        <v>101</v>
      </c>
      <c r="F6" s="28" t="s">
        <v>17</v>
      </c>
      <c r="G6" s="34">
        <v>550000</v>
      </c>
      <c r="H6" s="245">
        <v>2.5000000000000001E-3</v>
      </c>
      <c r="I6" s="34">
        <f t="shared" ref="I6:I47" si="0">G6-S6</f>
        <v>0</v>
      </c>
      <c r="J6" s="246">
        <v>550000</v>
      </c>
      <c r="K6" s="247">
        <v>150</v>
      </c>
      <c r="L6" s="248">
        <f t="shared" ref="L6:L47" si="1">IF(K6&gt;=135,1,IF(K6&gt;=105,0.75,IF(K6&gt;=65,0.5,IF(K6&gt;=40,0.25,IF(K6&lt;40,0)))))</f>
        <v>1</v>
      </c>
      <c r="M6" s="249">
        <f t="shared" ref="M6:M47" si="2">ROUNDUP((L6*J6),0)</f>
        <v>550000</v>
      </c>
      <c r="N6" s="250">
        <f t="shared" ref="N6:N47" si="3">G6-J6</f>
        <v>0</v>
      </c>
      <c r="O6" s="251">
        <v>90</v>
      </c>
      <c r="P6" s="252">
        <v>0.2</v>
      </c>
      <c r="Q6" s="250">
        <f t="shared" ref="Q6:Q17" si="4">ROUNDUP((N6*P6),0)</f>
        <v>0</v>
      </c>
      <c r="R6" s="253"/>
      <c r="S6" s="254">
        <f t="shared" ref="S6:S47" si="5">M6+Q6+R6</f>
        <v>550000</v>
      </c>
      <c r="T6" s="255">
        <f>J6</f>
        <v>550000</v>
      </c>
      <c r="U6" s="256">
        <f t="shared" ref="U6:U47" si="6">G6-J6-N6</f>
        <v>0</v>
      </c>
    </row>
    <row r="7" spans="1:135" ht="16.95" customHeight="1" x14ac:dyDescent="0.3">
      <c r="A7" s="244">
        <v>291</v>
      </c>
      <c r="B7" s="28" t="s">
        <v>504</v>
      </c>
      <c r="C7" s="28" t="s">
        <v>163</v>
      </c>
      <c r="D7" s="37" t="s">
        <v>568</v>
      </c>
      <c r="E7" s="28" t="s">
        <v>41</v>
      </c>
      <c r="F7" s="28" t="s">
        <v>39</v>
      </c>
      <c r="G7" s="34">
        <v>2143097</v>
      </c>
      <c r="H7" s="245">
        <v>2.5000000000000001E-3</v>
      </c>
      <c r="I7" s="34">
        <f t="shared" si="0"/>
        <v>1743114</v>
      </c>
      <c r="J7" s="246">
        <v>785180</v>
      </c>
      <c r="K7" s="247">
        <v>55</v>
      </c>
      <c r="L7" s="248">
        <f t="shared" si="1"/>
        <v>0.25</v>
      </c>
      <c r="M7" s="249">
        <f t="shared" si="2"/>
        <v>196295</v>
      </c>
      <c r="N7" s="250">
        <f t="shared" si="3"/>
        <v>1357917</v>
      </c>
      <c r="O7" s="251">
        <v>75</v>
      </c>
      <c r="P7" s="252">
        <v>0.15</v>
      </c>
      <c r="Q7" s="250">
        <f t="shared" si="4"/>
        <v>203688</v>
      </c>
      <c r="R7" s="253"/>
      <c r="S7" s="254">
        <f t="shared" si="5"/>
        <v>399983</v>
      </c>
      <c r="T7" s="255">
        <f>J7+N7</f>
        <v>2143097</v>
      </c>
      <c r="U7" s="256">
        <f t="shared" si="6"/>
        <v>0</v>
      </c>
    </row>
    <row r="8" spans="1:135" ht="16.95" customHeight="1" x14ac:dyDescent="0.3">
      <c r="A8" s="244">
        <v>290</v>
      </c>
      <c r="B8" s="28" t="s">
        <v>470</v>
      </c>
      <c r="C8" s="28" t="s">
        <v>234</v>
      </c>
      <c r="D8" s="37" t="s">
        <v>601</v>
      </c>
      <c r="E8" s="28" t="s">
        <v>14</v>
      </c>
      <c r="F8" s="28" t="s">
        <v>17</v>
      </c>
      <c r="G8" s="39">
        <v>1360000</v>
      </c>
      <c r="H8" s="245">
        <v>2.5000000000000001E-3</v>
      </c>
      <c r="I8" s="34">
        <f t="shared" si="0"/>
        <v>680000</v>
      </c>
      <c r="J8" s="246">
        <v>1360000</v>
      </c>
      <c r="K8" s="247">
        <v>70</v>
      </c>
      <c r="L8" s="248">
        <f t="shared" si="1"/>
        <v>0.5</v>
      </c>
      <c r="M8" s="249">
        <f t="shared" si="2"/>
        <v>680000</v>
      </c>
      <c r="N8" s="250">
        <f t="shared" si="3"/>
        <v>0</v>
      </c>
      <c r="O8" s="251">
        <v>80</v>
      </c>
      <c r="P8" s="252">
        <v>0.2</v>
      </c>
      <c r="Q8" s="250">
        <f t="shared" si="4"/>
        <v>0</v>
      </c>
      <c r="R8" s="253"/>
      <c r="S8" s="254">
        <f t="shared" si="5"/>
        <v>680000</v>
      </c>
      <c r="T8" s="255">
        <f>J8</f>
        <v>1360000</v>
      </c>
      <c r="U8" s="256">
        <f t="shared" si="6"/>
        <v>0</v>
      </c>
    </row>
    <row r="9" spans="1:135" ht="16.95" customHeight="1" x14ac:dyDescent="0.3">
      <c r="A9" s="244">
        <v>288</v>
      </c>
      <c r="B9" s="28" t="s">
        <v>569</v>
      </c>
      <c r="C9" s="28" t="s">
        <v>255</v>
      </c>
      <c r="D9" s="37" t="s">
        <v>570</v>
      </c>
      <c r="E9" s="28" t="s">
        <v>20</v>
      </c>
      <c r="F9" s="28" t="s">
        <v>38</v>
      </c>
      <c r="G9" s="39">
        <v>10400000</v>
      </c>
      <c r="H9" s="245">
        <v>2.5000000000000001E-3</v>
      </c>
      <c r="I9" s="34">
        <f t="shared" si="0"/>
        <v>2373750</v>
      </c>
      <c r="J9" s="246">
        <v>5125000</v>
      </c>
      <c r="K9" s="247">
        <v>230</v>
      </c>
      <c r="L9" s="248">
        <f t="shared" si="1"/>
        <v>1</v>
      </c>
      <c r="M9" s="249">
        <f t="shared" si="2"/>
        <v>5125000</v>
      </c>
      <c r="N9" s="250">
        <f t="shared" si="3"/>
        <v>5275000</v>
      </c>
      <c r="O9" s="251">
        <v>195</v>
      </c>
      <c r="P9" s="252">
        <v>0.55000000000000004</v>
      </c>
      <c r="Q9" s="250">
        <f t="shared" si="4"/>
        <v>2901250</v>
      </c>
      <c r="R9" s="253"/>
      <c r="S9" s="254">
        <f t="shared" si="5"/>
        <v>8026250</v>
      </c>
      <c r="T9" s="255">
        <f>J9+N9</f>
        <v>10400000</v>
      </c>
      <c r="U9" s="256">
        <f t="shared" si="6"/>
        <v>0</v>
      </c>
    </row>
    <row r="10" spans="1:135" ht="16.95" customHeight="1" x14ac:dyDescent="0.3">
      <c r="A10" s="244">
        <v>284</v>
      </c>
      <c r="B10" s="28" t="s">
        <v>463</v>
      </c>
      <c r="C10" s="28" t="s">
        <v>71</v>
      </c>
      <c r="D10" s="37" t="s">
        <v>570</v>
      </c>
      <c r="E10" s="28" t="s">
        <v>14</v>
      </c>
      <c r="F10" s="28" t="s">
        <v>17</v>
      </c>
      <c r="G10" s="34">
        <v>611302</v>
      </c>
      <c r="H10" s="245">
        <v>2.5000000000000001E-3</v>
      </c>
      <c r="I10" s="34">
        <f t="shared" si="0"/>
        <v>0</v>
      </c>
      <c r="J10" s="246">
        <v>611302</v>
      </c>
      <c r="K10" s="247">
        <v>220</v>
      </c>
      <c r="L10" s="248">
        <f t="shared" si="1"/>
        <v>1</v>
      </c>
      <c r="M10" s="249">
        <f t="shared" si="2"/>
        <v>611302</v>
      </c>
      <c r="N10" s="250">
        <f t="shared" si="3"/>
        <v>0</v>
      </c>
      <c r="O10" s="251">
        <v>170</v>
      </c>
      <c r="P10" s="252">
        <v>0.5</v>
      </c>
      <c r="Q10" s="250">
        <f t="shared" si="4"/>
        <v>0</v>
      </c>
      <c r="R10" s="253"/>
      <c r="S10" s="254">
        <f t="shared" si="5"/>
        <v>611302</v>
      </c>
      <c r="T10" s="255">
        <f>J10</f>
        <v>611302</v>
      </c>
      <c r="U10" s="256">
        <f t="shared" si="6"/>
        <v>0</v>
      </c>
    </row>
    <row r="11" spans="1:135" ht="16.95" customHeight="1" x14ac:dyDescent="0.3">
      <c r="A11" s="244">
        <v>283</v>
      </c>
      <c r="B11" s="28" t="s">
        <v>499</v>
      </c>
      <c r="C11" s="28" t="s">
        <v>77</v>
      </c>
      <c r="D11" s="37" t="s">
        <v>570</v>
      </c>
      <c r="E11" s="28" t="s">
        <v>78</v>
      </c>
      <c r="F11" s="28" t="s">
        <v>60</v>
      </c>
      <c r="G11" s="34">
        <v>108884</v>
      </c>
      <c r="H11" s="245">
        <v>2.5000000000000001E-3</v>
      </c>
      <c r="I11" s="34">
        <f t="shared" si="0"/>
        <v>0</v>
      </c>
      <c r="J11" s="246">
        <v>108884</v>
      </c>
      <c r="K11" s="247">
        <v>210</v>
      </c>
      <c r="L11" s="248">
        <f t="shared" si="1"/>
        <v>1</v>
      </c>
      <c r="M11" s="249">
        <f t="shared" si="2"/>
        <v>108884</v>
      </c>
      <c r="N11" s="250">
        <f t="shared" si="3"/>
        <v>0</v>
      </c>
      <c r="O11" s="251">
        <v>165</v>
      </c>
      <c r="P11" s="252">
        <v>0.45</v>
      </c>
      <c r="Q11" s="250">
        <f t="shared" si="4"/>
        <v>0</v>
      </c>
      <c r="R11" s="253"/>
      <c r="S11" s="254">
        <f t="shared" si="5"/>
        <v>108884</v>
      </c>
      <c r="T11" s="255">
        <f>J11</f>
        <v>108884</v>
      </c>
      <c r="U11" s="256">
        <f t="shared" si="6"/>
        <v>0</v>
      </c>
    </row>
    <row r="12" spans="1:135" ht="16.95" customHeight="1" x14ac:dyDescent="0.3">
      <c r="A12" s="244">
        <v>272</v>
      </c>
      <c r="B12" s="28" t="s">
        <v>468</v>
      </c>
      <c r="C12" s="28" t="s">
        <v>378</v>
      </c>
      <c r="D12" s="37" t="s">
        <v>570</v>
      </c>
      <c r="E12" s="28" t="s">
        <v>43</v>
      </c>
      <c r="F12" s="28" t="s">
        <v>60</v>
      </c>
      <c r="G12" s="34">
        <v>5790028</v>
      </c>
      <c r="H12" s="245">
        <v>2.5000000000000001E-3</v>
      </c>
      <c r="I12" s="34">
        <f t="shared" si="0"/>
        <v>2148950</v>
      </c>
      <c r="J12" s="246">
        <v>4514676</v>
      </c>
      <c r="K12" s="247">
        <v>115</v>
      </c>
      <c r="L12" s="248">
        <f t="shared" si="1"/>
        <v>0.75</v>
      </c>
      <c r="M12" s="249">
        <f t="shared" si="2"/>
        <v>3386007</v>
      </c>
      <c r="N12" s="250">
        <f t="shared" si="3"/>
        <v>1275352</v>
      </c>
      <c r="O12" s="251">
        <v>90</v>
      </c>
      <c r="P12" s="252">
        <v>0.2</v>
      </c>
      <c r="Q12" s="250">
        <f t="shared" si="4"/>
        <v>255071</v>
      </c>
      <c r="R12" s="253"/>
      <c r="S12" s="254">
        <f t="shared" si="5"/>
        <v>3641078</v>
      </c>
      <c r="T12" s="255">
        <f>J12+N12</f>
        <v>5790028</v>
      </c>
      <c r="U12" s="256">
        <f t="shared" si="6"/>
        <v>0</v>
      </c>
    </row>
    <row r="13" spans="1:135" ht="16.95" customHeight="1" x14ac:dyDescent="0.3">
      <c r="A13" s="244">
        <v>270</v>
      </c>
      <c r="B13" s="28" t="s">
        <v>505</v>
      </c>
      <c r="C13" s="28" t="s">
        <v>164</v>
      </c>
      <c r="D13" s="37" t="s">
        <v>570</v>
      </c>
      <c r="E13" s="28" t="s">
        <v>42</v>
      </c>
      <c r="F13" s="28" t="s">
        <v>38</v>
      </c>
      <c r="G13" s="34">
        <v>211291</v>
      </c>
      <c r="H13" s="245">
        <v>2.5000000000000001E-3</v>
      </c>
      <c r="I13" s="34">
        <f t="shared" si="0"/>
        <v>178237</v>
      </c>
      <c r="J13" s="246">
        <v>66108</v>
      </c>
      <c r="K13" s="247">
        <v>80</v>
      </c>
      <c r="L13" s="248">
        <f t="shared" si="1"/>
        <v>0.5</v>
      </c>
      <c r="M13" s="249">
        <f t="shared" si="2"/>
        <v>33054</v>
      </c>
      <c r="N13" s="250">
        <f t="shared" si="3"/>
        <v>145183</v>
      </c>
      <c r="O13" s="251">
        <v>25</v>
      </c>
      <c r="P13" s="252">
        <v>0</v>
      </c>
      <c r="Q13" s="250">
        <f t="shared" si="4"/>
        <v>0</v>
      </c>
      <c r="R13" s="253"/>
      <c r="S13" s="254">
        <f t="shared" si="5"/>
        <v>33054</v>
      </c>
      <c r="T13" s="255">
        <f>J13</f>
        <v>66108</v>
      </c>
      <c r="U13" s="256">
        <f t="shared" si="6"/>
        <v>0</v>
      </c>
    </row>
    <row r="14" spans="1:135" ht="16.95" customHeight="1" x14ac:dyDescent="0.3">
      <c r="A14" s="244">
        <v>269</v>
      </c>
      <c r="B14" s="28" t="s">
        <v>462</v>
      </c>
      <c r="C14" s="28" t="s">
        <v>308</v>
      </c>
      <c r="D14" s="37" t="s">
        <v>568</v>
      </c>
      <c r="E14" s="28" t="s">
        <v>144</v>
      </c>
      <c r="F14" s="28" t="s">
        <v>38</v>
      </c>
      <c r="G14" s="34">
        <v>3275000</v>
      </c>
      <c r="H14" s="245">
        <v>2.5000000000000001E-3</v>
      </c>
      <c r="I14" s="34">
        <f t="shared" si="0"/>
        <v>969375</v>
      </c>
      <c r="J14" s="246">
        <v>1512500</v>
      </c>
      <c r="K14" s="247">
        <v>160</v>
      </c>
      <c r="L14" s="248">
        <f t="shared" si="1"/>
        <v>1</v>
      </c>
      <c r="M14" s="249">
        <f t="shared" si="2"/>
        <v>1512500</v>
      </c>
      <c r="N14" s="250">
        <f t="shared" si="3"/>
        <v>1762500</v>
      </c>
      <c r="O14" s="251">
        <v>160</v>
      </c>
      <c r="P14" s="252">
        <v>0.45</v>
      </c>
      <c r="Q14" s="250">
        <f t="shared" si="4"/>
        <v>793125</v>
      </c>
      <c r="R14" s="253"/>
      <c r="S14" s="254">
        <f t="shared" si="5"/>
        <v>2305625</v>
      </c>
      <c r="T14" s="255">
        <f>J14+N14</f>
        <v>3275000</v>
      </c>
      <c r="U14" s="256">
        <f t="shared" si="6"/>
        <v>0</v>
      </c>
    </row>
    <row r="15" spans="1:135" ht="16.95" customHeight="1" x14ac:dyDescent="0.3">
      <c r="A15" s="244">
        <v>268</v>
      </c>
      <c r="B15" s="28" t="s">
        <v>461</v>
      </c>
      <c r="C15" s="28" t="s">
        <v>206</v>
      </c>
      <c r="D15" s="37" t="s">
        <v>602</v>
      </c>
      <c r="E15" s="28" t="s">
        <v>43</v>
      </c>
      <c r="F15" s="28" t="s">
        <v>38</v>
      </c>
      <c r="G15" s="34">
        <v>2640000</v>
      </c>
      <c r="H15" s="245">
        <v>2.5000000000000001E-3</v>
      </c>
      <c r="I15" s="34">
        <f t="shared" si="0"/>
        <v>0</v>
      </c>
      <c r="J15" s="246">
        <v>2640000</v>
      </c>
      <c r="K15" s="247">
        <v>220</v>
      </c>
      <c r="L15" s="248">
        <f t="shared" si="1"/>
        <v>1</v>
      </c>
      <c r="M15" s="249">
        <f t="shared" si="2"/>
        <v>2640000</v>
      </c>
      <c r="N15" s="250">
        <f t="shared" si="3"/>
        <v>0</v>
      </c>
      <c r="O15" s="251">
        <v>80</v>
      </c>
      <c r="P15" s="252">
        <v>0.2</v>
      </c>
      <c r="Q15" s="250">
        <f t="shared" si="4"/>
        <v>0</v>
      </c>
      <c r="R15" s="253"/>
      <c r="S15" s="254">
        <f t="shared" si="5"/>
        <v>2640000</v>
      </c>
      <c r="T15" s="255">
        <f>J15</f>
        <v>2640000</v>
      </c>
      <c r="U15" s="256">
        <f t="shared" si="6"/>
        <v>0</v>
      </c>
    </row>
    <row r="16" spans="1:135" ht="16.95" customHeight="1" x14ac:dyDescent="0.3">
      <c r="A16" s="244">
        <v>266</v>
      </c>
      <c r="B16" s="28" t="s">
        <v>470</v>
      </c>
      <c r="C16" s="28" t="s">
        <v>236</v>
      </c>
      <c r="D16" s="37" t="s">
        <v>603</v>
      </c>
      <c r="E16" s="28" t="s">
        <v>14</v>
      </c>
      <c r="F16" s="28" t="s">
        <v>17</v>
      </c>
      <c r="G16" s="39">
        <v>4208000</v>
      </c>
      <c r="H16" s="245">
        <v>2.5000000000000001E-3</v>
      </c>
      <c r="I16" s="34">
        <f t="shared" si="0"/>
        <v>1052000</v>
      </c>
      <c r="J16" s="246">
        <v>4208000</v>
      </c>
      <c r="K16" s="247">
        <v>120</v>
      </c>
      <c r="L16" s="248">
        <f t="shared" si="1"/>
        <v>0.75</v>
      </c>
      <c r="M16" s="249">
        <f t="shared" si="2"/>
        <v>3156000</v>
      </c>
      <c r="N16" s="250">
        <f t="shared" si="3"/>
        <v>0</v>
      </c>
      <c r="O16" s="251">
        <v>80</v>
      </c>
      <c r="P16" s="252">
        <v>0.2</v>
      </c>
      <c r="Q16" s="250">
        <f t="shared" si="4"/>
        <v>0</v>
      </c>
      <c r="R16" s="253"/>
      <c r="S16" s="254">
        <f t="shared" si="5"/>
        <v>3156000</v>
      </c>
      <c r="T16" s="255">
        <f>J16</f>
        <v>4208000</v>
      </c>
      <c r="U16" s="256">
        <f t="shared" si="6"/>
        <v>0</v>
      </c>
    </row>
    <row r="17" spans="1:22" ht="16.95" customHeight="1" x14ac:dyDescent="0.3">
      <c r="A17" s="244">
        <v>266</v>
      </c>
      <c r="B17" s="28" t="s">
        <v>511</v>
      </c>
      <c r="C17" s="28" t="s">
        <v>302</v>
      </c>
      <c r="D17" s="37" t="s">
        <v>568</v>
      </c>
      <c r="E17" s="28" t="s">
        <v>41</v>
      </c>
      <c r="F17" s="28" t="s">
        <v>39</v>
      </c>
      <c r="G17" s="34">
        <v>125400</v>
      </c>
      <c r="H17" s="245">
        <v>2.5000000000000001E-3</v>
      </c>
      <c r="I17" s="34">
        <f t="shared" si="0"/>
        <v>31350</v>
      </c>
      <c r="J17" s="246">
        <v>125400</v>
      </c>
      <c r="K17" s="247">
        <v>115</v>
      </c>
      <c r="L17" s="248">
        <f t="shared" si="1"/>
        <v>0.75</v>
      </c>
      <c r="M17" s="249">
        <f t="shared" si="2"/>
        <v>94050</v>
      </c>
      <c r="N17" s="250">
        <f t="shared" si="3"/>
        <v>0</v>
      </c>
      <c r="O17" s="251">
        <v>115</v>
      </c>
      <c r="P17" s="252">
        <v>0.3</v>
      </c>
      <c r="Q17" s="250">
        <f t="shared" si="4"/>
        <v>0</v>
      </c>
      <c r="R17" s="253"/>
      <c r="S17" s="254">
        <f t="shared" si="5"/>
        <v>94050</v>
      </c>
      <c r="T17" s="255">
        <f>J17</f>
        <v>125400</v>
      </c>
      <c r="U17" s="256">
        <f t="shared" si="6"/>
        <v>0</v>
      </c>
    </row>
    <row r="18" spans="1:22" ht="16.95" customHeight="1" x14ac:dyDescent="0.3">
      <c r="A18" s="244">
        <v>259</v>
      </c>
      <c r="B18" s="28" t="s">
        <v>479</v>
      </c>
      <c r="C18" s="28" t="s">
        <v>257</v>
      </c>
      <c r="D18" s="37" t="s">
        <v>568</v>
      </c>
      <c r="E18" s="28" t="s">
        <v>20</v>
      </c>
      <c r="F18" s="28" t="s">
        <v>38</v>
      </c>
      <c r="G18" s="39">
        <v>19697010</v>
      </c>
      <c r="H18" s="245">
        <v>2.5000000000000001E-3</v>
      </c>
      <c r="I18" s="34">
        <f t="shared" si="0"/>
        <v>10618725</v>
      </c>
      <c r="J18" s="246">
        <v>8078285</v>
      </c>
      <c r="K18" s="247">
        <v>195</v>
      </c>
      <c r="L18" s="248">
        <f t="shared" si="1"/>
        <v>1</v>
      </c>
      <c r="M18" s="249">
        <f t="shared" si="2"/>
        <v>8078285</v>
      </c>
      <c r="N18" s="250">
        <f t="shared" si="3"/>
        <v>11618725</v>
      </c>
      <c r="O18" s="251">
        <v>195</v>
      </c>
      <c r="P18" s="252">
        <v>0.55000000000000004</v>
      </c>
      <c r="Q18" s="250">
        <v>1000000</v>
      </c>
      <c r="R18" s="253"/>
      <c r="S18" s="254">
        <f t="shared" si="5"/>
        <v>9078285</v>
      </c>
      <c r="T18" s="255">
        <f>J18+(Q18/P18)</f>
        <v>9896466.8181818184</v>
      </c>
      <c r="U18" s="256">
        <f t="shared" si="6"/>
        <v>0</v>
      </c>
    </row>
    <row r="19" spans="1:22" ht="16.95" customHeight="1" x14ac:dyDescent="0.3">
      <c r="A19" s="244">
        <v>258</v>
      </c>
      <c r="B19" s="28" t="s">
        <v>470</v>
      </c>
      <c r="C19" s="28" t="s">
        <v>237</v>
      </c>
      <c r="D19" s="37" t="s">
        <v>604</v>
      </c>
      <c r="E19" s="28" t="s">
        <v>14</v>
      </c>
      <c r="F19" s="28" t="s">
        <v>17</v>
      </c>
      <c r="G19" s="39">
        <v>4450000</v>
      </c>
      <c r="H19" s="245">
        <v>2.5000000000000001E-3</v>
      </c>
      <c r="I19" s="34">
        <f t="shared" si="0"/>
        <v>0</v>
      </c>
      <c r="J19" s="246">
        <v>4450000</v>
      </c>
      <c r="K19" s="247">
        <v>200</v>
      </c>
      <c r="L19" s="248">
        <f t="shared" si="1"/>
        <v>1</v>
      </c>
      <c r="M19" s="249">
        <f t="shared" si="2"/>
        <v>4450000</v>
      </c>
      <c r="N19" s="250">
        <f t="shared" si="3"/>
        <v>0</v>
      </c>
      <c r="O19" s="251">
        <v>80</v>
      </c>
      <c r="P19" s="252">
        <v>0.2</v>
      </c>
      <c r="Q19" s="250">
        <f>ROUNDUP((N19*P19),0)</f>
        <v>0</v>
      </c>
      <c r="R19" s="253"/>
      <c r="S19" s="254">
        <f t="shared" si="5"/>
        <v>4450000</v>
      </c>
      <c r="T19" s="255">
        <f t="shared" ref="T19:T47" si="7">J19</f>
        <v>4450000</v>
      </c>
      <c r="U19" s="256">
        <f t="shared" si="6"/>
        <v>0</v>
      </c>
    </row>
    <row r="20" spans="1:22" ht="16.95" customHeight="1" x14ac:dyDescent="0.3">
      <c r="A20" s="244">
        <v>254</v>
      </c>
      <c r="B20" s="28" t="s">
        <v>513</v>
      </c>
      <c r="C20" s="28" t="s">
        <v>353</v>
      </c>
      <c r="D20" s="37" t="s">
        <v>568</v>
      </c>
      <c r="E20" s="28" t="s">
        <v>40</v>
      </c>
      <c r="F20" s="28" t="s">
        <v>17</v>
      </c>
      <c r="G20" s="34">
        <v>1613000</v>
      </c>
      <c r="H20" s="245">
        <v>2.5000000000000001E-3</v>
      </c>
      <c r="I20" s="34">
        <f t="shared" si="0"/>
        <v>1212100</v>
      </c>
      <c r="J20" s="246">
        <v>1589500</v>
      </c>
      <c r="K20" s="247">
        <v>60</v>
      </c>
      <c r="L20" s="248">
        <f t="shared" si="1"/>
        <v>0.25</v>
      </c>
      <c r="M20" s="249">
        <f t="shared" si="2"/>
        <v>397375</v>
      </c>
      <c r="N20" s="250">
        <f t="shared" si="3"/>
        <v>23500</v>
      </c>
      <c r="O20" s="251">
        <v>60</v>
      </c>
      <c r="P20" s="252">
        <v>0.1</v>
      </c>
      <c r="Q20" s="250">
        <v>0</v>
      </c>
      <c r="R20" s="253">
        <v>3525</v>
      </c>
      <c r="S20" s="254">
        <f t="shared" si="5"/>
        <v>400900</v>
      </c>
      <c r="T20" s="255">
        <f t="shared" si="7"/>
        <v>1589500</v>
      </c>
      <c r="U20" s="256">
        <f t="shared" si="6"/>
        <v>0</v>
      </c>
    </row>
    <row r="21" spans="1:22" ht="16.95" customHeight="1" x14ac:dyDescent="0.3">
      <c r="A21" s="244">
        <v>250</v>
      </c>
      <c r="B21" s="28" t="s">
        <v>466</v>
      </c>
      <c r="C21" s="28" t="s">
        <v>194</v>
      </c>
      <c r="D21" s="37" t="s">
        <v>570</v>
      </c>
      <c r="E21" s="28" t="s">
        <v>101</v>
      </c>
      <c r="F21" s="28" t="s">
        <v>39</v>
      </c>
      <c r="G21" s="34">
        <v>1100000</v>
      </c>
      <c r="H21" s="245">
        <v>2.5000000000000001E-3</v>
      </c>
      <c r="I21" s="34">
        <f t="shared" si="0"/>
        <v>275000</v>
      </c>
      <c r="J21" s="246">
        <v>1100000</v>
      </c>
      <c r="K21" s="247">
        <v>110</v>
      </c>
      <c r="L21" s="248">
        <f t="shared" si="1"/>
        <v>0.75</v>
      </c>
      <c r="M21" s="249">
        <f t="shared" si="2"/>
        <v>825000</v>
      </c>
      <c r="N21" s="250">
        <f t="shared" si="3"/>
        <v>0</v>
      </c>
      <c r="O21" s="251">
        <v>55</v>
      </c>
      <c r="P21" s="252">
        <v>0</v>
      </c>
      <c r="Q21" s="250">
        <v>0</v>
      </c>
      <c r="R21" s="253"/>
      <c r="S21" s="254">
        <f t="shared" si="5"/>
        <v>825000</v>
      </c>
      <c r="T21" s="255">
        <f t="shared" si="7"/>
        <v>1100000</v>
      </c>
      <c r="U21" s="256">
        <f t="shared" si="6"/>
        <v>0</v>
      </c>
    </row>
    <row r="22" spans="1:22" ht="16.95" customHeight="1" x14ac:dyDescent="0.3">
      <c r="A22" s="244">
        <v>249</v>
      </c>
      <c r="B22" s="28" t="s">
        <v>500</v>
      </c>
      <c r="C22" s="28" t="s">
        <v>97</v>
      </c>
      <c r="D22" s="37" t="s">
        <v>568</v>
      </c>
      <c r="E22" s="28" t="s">
        <v>40</v>
      </c>
      <c r="F22" s="28" t="s">
        <v>39</v>
      </c>
      <c r="G22" s="34">
        <v>1000001</v>
      </c>
      <c r="H22" s="245">
        <v>2.5000000000000001E-3</v>
      </c>
      <c r="I22" s="34">
        <f t="shared" si="0"/>
        <v>796501</v>
      </c>
      <c r="J22" s="246">
        <v>814000</v>
      </c>
      <c r="K22" s="247">
        <v>50</v>
      </c>
      <c r="L22" s="248">
        <f t="shared" si="1"/>
        <v>0.25</v>
      </c>
      <c r="M22" s="249">
        <f t="shared" si="2"/>
        <v>203500</v>
      </c>
      <c r="N22" s="250">
        <f t="shared" si="3"/>
        <v>186001</v>
      </c>
      <c r="O22" s="251">
        <v>50</v>
      </c>
      <c r="P22" s="252">
        <v>0</v>
      </c>
      <c r="Q22" s="250">
        <v>0</v>
      </c>
      <c r="R22" s="253"/>
      <c r="S22" s="254">
        <f t="shared" si="5"/>
        <v>203500</v>
      </c>
      <c r="T22" s="255">
        <f t="shared" si="7"/>
        <v>814000</v>
      </c>
      <c r="U22" s="256">
        <f t="shared" si="6"/>
        <v>0</v>
      </c>
    </row>
    <row r="23" spans="1:22" ht="16.95" customHeight="1" x14ac:dyDescent="0.3">
      <c r="A23" s="244">
        <v>249</v>
      </c>
      <c r="B23" s="28" t="s">
        <v>509</v>
      </c>
      <c r="C23" s="28" t="s">
        <v>445</v>
      </c>
      <c r="D23" s="37" t="s">
        <v>568</v>
      </c>
      <c r="E23" s="207" t="s">
        <v>129</v>
      </c>
      <c r="F23" s="28" t="s">
        <v>17</v>
      </c>
      <c r="G23" s="39">
        <v>395150</v>
      </c>
      <c r="H23" s="257">
        <v>2.5000000000000001E-3</v>
      </c>
      <c r="I23" s="34">
        <f t="shared" si="0"/>
        <v>261485</v>
      </c>
      <c r="J23" s="246">
        <v>75600</v>
      </c>
      <c r="K23" s="247">
        <v>100</v>
      </c>
      <c r="L23" s="248">
        <f t="shared" si="1"/>
        <v>0.5</v>
      </c>
      <c r="M23" s="249">
        <f t="shared" si="2"/>
        <v>37800</v>
      </c>
      <c r="N23" s="250">
        <f t="shared" si="3"/>
        <v>319550</v>
      </c>
      <c r="O23" s="251">
        <v>120</v>
      </c>
      <c r="P23" s="252">
        <v>0.3</v>
      </c>
      <c r="Q23" s="250">
        <v>0</v>
      </c>
      <c r="R23" s="253">
        <v>95865</v>
      </c>
      <c r="S23" s="254">
        <f t="shared" si="5"/>
        <v>133665</v>
      </c>
      <c r="T23" s="255">
        <f t="shared" si="7"/>
        <v>75600</v>
      </c>
      <c r="U23" s="256">
        <f t="shared" si="6"/>
        <v>0</v>
      </c>
    </row>
    <row r="24" spans="1:22" ht="16.95" customHeight="1" x14ac:dyDescent="0.3">
      <c r="A24" s="244">
        <v>244</v>
      </c>
      <c r="B24" s="28" t="s">
        <v>465</v>
      </c>
      <c r="C24" s="28" t="s">
        <v>295</v>
      </c>
      <c r="D24" s="37" t="s">
        <v>568</v>
      </c>
      <c r="E24" s="28" t="s">
        <v>42</v>
      </c>
      <c r="F24" s="28" t="s">
        <v>17</v>
      </c>
      <c r="G24" s="34">
        <v>1099500</v>
      </c>
      <c r="H24" s="245">
        <v>2.5000000000000001E-3</v>
      </c>
      <c r="I24" s="34">
        <f t="shared" si="0"/>
        <v>551500</v>
      </c>
      <c r="J24" s="246">
        <v>1094500</v>
      </c>
      <c r="K24" s="247">
        <v>80</v>
      </c>
      <c r="L24" s="248">
        <f t="shared" si="1"/>
        <v>0.5</v>
      </c>
      <c r="M24" s="249">
        <f t="shared" si="2"/>
        <v>547250</v>
      </c>
      <c r="N24" s="250">
        <f t="shared" si="3"/>
        <v>5000</v>
      </c>
      <c r="O24" s="251">
        <v>70</v>
      </c>
      <c r="P24" s="252">
        <v>0.15</v>
      </c>
      <c r="Q24" s="250">
        <v>0</v>
      </c>
      <c r="R24" s="253">
        <v>750</v>
      </c>
      <c r="S24" s="254">
        <f t="shared" si="5"/>
        <v>548000</v>
      </c>
      <c r="T24" s="255">
        <f t="shared" si="7"/>
        <v>1094500</v>
      </c>
      <c r="U24" s="256">
        <f t="shared" si="6"/>
        <v>0</v>
      </c>
    </row>
    <row r="25" spans="1:22" ht="16.95" customHeight="1" x14ac:dyDescent="0.3">
      <c r="A25" s="244">
        <v>242</v>
      </c>
      <c r="B25" s="28" t="s">
        <v>477</v>
      </c>
      <c r="C25" s="28" t="s">
        <v>104</v>
      </c>
      <c r="D25" s="37" t="s">
        <v>568</v>
      </c>
      <c r="E25" s="28" t="s">
        <v>41</v>
      </c>
      <c r="F25" s="28" t="s">
        <v>39</v>
      </c>
      <c r="G25" s="39">
        <v>925010</v>
      </c>
      <c r="H25" s="245">
        <v>2.5000000000000001E-3</v>
      </c>
      <c r="I25" s="34">
        <f t="shared" si="0"/>
        <v>757509</v>
      </c>
      <c r="J25" s="246">
        <v>500000</v>
      </c>
      <c r="K25" s="247">
        <v>60</v>
      </c>
      <c r="L25" s="248">
        <f t="shared" si="1"/>
        <v>0.25</v>
      </c>
      <c r="M25" s="249">
        <f t="shared" si="2"/>
        <v>125000</v>
      </c>
      <c r="N25" s="250">
        <f t="shared" si="3"/>
        <v>425010</v>
      </c>
      <c r="O25" s="251">
        <v>60</v>
      </c>
      <c r="P25" s="252">
        <v>0.1</v>
      </c>
      <c r="Q25" s="250">
        <v>0</v>
      </c>
      <c r="R25" s="253">
        <v>42501</v>
      </c>
      <c r="S25" s="254">
        <f t="shared" si="5"/>
        <v>167501</v>
      </c>
      <c r="T25" s="255">
        <f t="shared" si="7"/>
        <v>500000</v>
      </c>
      <c r="U25" s="256">
        <f t="shared" si="6"/>
        <v>0</v>
      </c>
    </row>
    <row r="26" spans="1:22" ht="16.95" customHeight="1" x14ac:dyDescent="0.3">
      <c r="A26" s="244">
        <v>242</v>
      </c>
      <c r="B26" s="28" t="s">
        <v>571</v>
      </c>
      <c r="C26" s="28" t="s">
        <v>342</v>
      </c>
      <c r="D26" s="37" t="s">
        <v>568</v>
      </c>
      <c r="E26" s="28" t="s">
        <v>89</v>
      </c>
      <c r="F26" s="28" t="s">
        <v>60</v>
      </c>
      <c r="G26" s="34">
        <v>460000</v>
      </c>
      <c r="H26" s="245">
        <v>2.5000000000000001E-3</v>
      </c>
      <c r="I26" s="34">
        <f t="shared" si="0"/>
        <v>187765</v>
      </c>
      <c r="J26" s="246">
        <v>247500</v>
      </c>
      <c r="K26" s="247">
        <v>180</v>
      </c>
      <c r="L26" s="248">
        <f t="shared" si="1"/>
        <v>1</v>
      </c>
      <c r="M26" s="249">
        <f t="shared" si="2"/>
        <v>247500</v>
      </c>
      <c r="N26" s="250">
        <f t="shared" si="3"/>
        <v>212500</v>
      </c>
      <c r="O26" s="251">
        <v>220</v>
      </c>
      <c r="P26" s="252">
        <v>0.6</v>
      </c>
      <c r="Q26" s="250">
        <v>0</v>
      </c>
      <c r="R26" s="253">
        <v>24735</v>
      </c>
      <c r="S26" s="254">
        <f t="shared" si="5"/>
        <v>272235</v>
      </c>
      <c r="T26" s="255">
        <f t="shared" si="7"/>
        <v>247500</v>
      </c>
      <c r="U26" s="256">
        <f t="shared" si="6"/>
        <v>0</v>
      </c>
    </row>
    <row r="27" spans="1:22" ht="16.95" customHeight="1" x14ac:dyDescent="0.3">
      <c r="A27" s="244">
        <v>242</v>
      </c>
      <c r="B27" s="28" t="s">
        <v>514</v>
      </c>
      <c r="C27" s="28" t="s">
        <v>361</v>
      </c>
      <c r="D27" s="37" t="s">
        <v>568</v>
      </c>
      <c r="E27" s="28" t="s">
        <v>144</v>
      </c>
      <c r="F27" s="28" t="s">
        <v>13</v>
      </c>
      <c r="G27" s="34">
        <v>250000</v>
      </c>
      <c r="H27" s="245">
        <v>2.5000000000000001E-3</v>
      </c>
      <c r="I27" s="34">
        <f t="shared" si="0"/>
        <v>67900</v>
      </c>
      <c r="J27" s="246">
        <v>232000</v>
      </c>
      <c r="K27" s="247">
        <v>130</v>
      </c>
      <c r="L27" s="248">
        <f t="shared" si="1"/>
        <v>0.75</v>
      </c>
      <c r="M27" s="249">
        <f t="shared" si="2"/>
        <v>174000</v>
      </c>
      <c r="N27" s="250">
        <f t="shared" si="3"/>
        <v>18000</v>
      </c>
      <c r="O27" s="251">
        <v>160</v>
      </c>
      <c r="P27" s="252">
        <v>0.45</v>
      </c>
      <c r="Q27" s="250">
        <v>0</v>
      </c>
      <c r="R27" s="253">
        <v>8100</v>
      </c>
      <c r="S27" s="254">
        <f t="shared" si="5"/>
        <v>182100</v>
      </c>
      <c r="T27" s="255">
        <f t="shared" si="7"/>
        <v>232000</v>
      </c>
      <c r="U27" s="256">
        <f t="shared" si="6"/>
        <v>0</v>
      </c>
    </row>
    <row r="28" spans="1:22" ht="16.95" customHeight="1" x14ac:dyDescent="0.3">
      <c r="A28" s="244">
        <v>241</v>
      </c>
      <c r="B28" s="28" t="s">
        <v>497</v>
      </c>
      <c r="C28" s="28" t="s">
        <v>69</v>
      </c>
      <c r="D28" s="37" t="s">
        <v>568</v>
      </c>
      <c r="E28" s="28" t="s">
        <v>43</v>
      </c>
      <c r="F28" s="28" t="s">
        <v>60</v>
      </c>
      <c r="G28" s="34">
        <v>275000</v>
      </c>
      <c r="H28" s="245">
        <v>2.5000000000000001E-3</v>
      </c>
      <c r="I28" s="34">
        <f t="shared" si="0"/>
        <v>0</v>
      </c>
      <c r="J28" s="246">
        <v>275000</v>
      </c>
      <c r="K28" s="247">
        <v>140</v>
      </c>
      <c r="L28" s="248">
        <f t="shared" si="1"/>
        <v>1</v>
      </c>
      <c r="M28" s="249">
        <f t="shared" si="2"/>
        <v>275000</v>
      </c>
      <c r="N28" s="250">
        <f t="shared" si="3"/>
        <v>0</v>
      </c>
      <c r="O28" s="251">
        <v>170</v>
      </c>
      <c r="P28" s="252">
        <v>0.5</v>
      </c>
      <c r="Q28" s="250">
        <v>0</v>
      </c>
      <c r="R28" s="253"/>
      <c r="S28" s="254">
        <f t="shared" si="5"/>
        <v>275000</v>
      </c>
      <c r="T28" s="255">
        <f t="shared" si="7"/>
        <v>275000</v>
      </c>
      <c r="U28" s="256">
        <f t="shared" si="6"/>
        <v>0</v>
      </c>
      <c r="V28" s="258"/>
    </row>
    <row r="29" spans="1:22" ht="16.95" customHeight="1" x14ac:dyDescent="0.3">
      <c r="A29" s="244">
        <v>239</v>
      </c>
      <c r="B29" s="28" t="s">
        <v>469</v>
      </c>
      <c r="C29" s="28" t="s">
        <v>109</v>
      </c>
      <c r="D29" s="37" t="s">
        <v>568</v>
      </c>
      <c r="E29" s="28" t="s">
        <v>101</v>
      </c>
      <c r="F29" s="28" t="s">
        <v>39</v>
      </c>
      <c r="G29" s="34">
        <v>1100000</v>
      </c>
      <c r="H29" s="245">
        <v>2.5000000000000001E-3</v>
      </c>
      <c r="I29" s="34">
        <f t="shared" si="0"/>
        <v>0</v>
      </c>
      <c r="J29" s="246">
        <v>1100000</v>
      </c>
      <c r="K29" s="247">
        <v>135</v>
      </c>
      <c r="L29" s="248">
        <f t="shared" si="1"/>
        <v>1</v>
      </c>
      <c r="M29" s="249">
        <f t="shared" si="2"/>
        <v>1100000</v>
      </c>
      <c r="N29" s="250">
        <f t="shared" si="3"/>
        <v>0</v>
      </c>
      <c r="O29" s="251">
        <v>135</v>
      </c>
      <c r="P29" s="252">
        <v>0.35</v>
      </c>
      <c r="Q29" s="250">
        <v>0</v>
      </c>
      <c r="R29" s="253"/>
      <c r="S29" s="254">
        <f t="shared" si="5"/>
        <v>1100000</v>
      </c>
      <c r="T29" s="255">
        <f t="shared" si="7"/>
        <v>1100000</v>
      </c>
      <c r="U29" s="256">
        <f t="shared" si="6"/>
        <v>0</v>
      </c>
    </row>
    <row r="30" spans="1:22" ht="16.95" customHeight="1" x14ac:dyDescent="0.3">
      <c r="A30" s="244">
        <v>236</v>
      </c>
      <c r="B30" s="28" t="s">
        <v>467</v>
      </c>
      <c r="C30" s="28" t="s">
        <v>336</v>
      </c>
      <c r="D30" s="37" t="s">
        <v>570</v>
      </c>
      <c r="E30" s="28" t="s">
        <v>144</v>
      </c>
      <c r="F30" s="28" t="s">
        <v>38</v>
      </c>
      <c r="G30" s="34">
        <v>1646375</v>
      </c>
      <c r="H30" s="245">
        <v>2.5000000000000001E-3</v>
      </c>
      <c r="I30" s="34">
        <f t="shared" si="0"/>
        <v>411593</v>
      </c>
      <c r="J30" s="246">
        <v>1646375</v>
      </c>
      <c r="K30" s="247">
        <v>130</v>
      </c>
      <c r="L30" s="248">
        <f t="shared" si="1"/>
        <v>0.75</v>
      </c>
      <c r="M30" s="249">
        <f t="shared" si="2"/>
        <v>1234782</v>
      </c>
      <c r="N30" s="250">
        <f t="shared" si="3"/>
        <v>0</v>
      </c>
      <c r="O30" s="251">
        <v>80</v>
      </c>
      <c r="P30" s="252">
        <v>0.2</v>
      </c>
      <c r="Q30" s="250">
        <v>0</v>
      </c>
      <c r="R30" s="253"/>
      <c r="S30" s="254">
        <f t="shared" si="5"/>
        <v>1234782</v>
      </c>
      <c r="T30" s="255">
        <f t="shared" si="7"/>
        <v>1646375</v>
      </c>
      <c r="U30" s="256">
        <f t="shared" si="6"/>
        <v>0</v>
      </c>
    </row>
    <row r="31" spans="1:22" ht="16.95" customHeight="1" x14ac:dyDescent="0.3">
      <c r="A31" s="244">
        <v>235</v>
      </c>
      <c r="B31" s="28" t="s">
        <v>507</v>
      </c>
      <c r="C31" s="28" t="s">
        <v>214</v>
      </c>
      <c r="D31" s="37" t="s">
        <v>568</v>
      </c>
      <c r="E31" s="28" t="s">
        <v>119</v>
      </c>
      <c r="F31" s="28" t="s">
        <v>60</v>
      </c>
      <c r="G31" s="34">
        <v>262615</v>
      </c>
      <c r="H31" s="245">
        <v>2.5000000000000001E-3</v>
      </c>
      <c r="I31" s="34">
        <f t="shared" si="0"/>
        <v>170875</v>
      </c>
      <c r="J31" s="246">
        <v>91740</v>
      </c>
      <c r="K31" s="247">
        <v>145</v>
      </c>
      <c r="L31" s="248">
        <f t="shared" si="1"/>
        <v>1</v>
      </c>
      <c r="M31" s="249">
        <f t="shared" si="2"/>
        <v>91740</v>
      </c>
      <c r="N31" s="250">
        <f t="shared" si="3"/>
        <v>170875</v>
      </c>
      <c r="O31" s="251">
        <v>175</v>
      </c>
      <c r="P31" s="252">
        <v>0.5</v>
      </c>
      <c r="Q31" s="250">
        <v>0</v>
      </c>
      <c r="R31" s="253"/>
      <c r="S31" s="254">
        <f t="shared" si="5"/>
        <v>91740</v>
      </c>
      <c r="T31" s="255">
        <f t="shared" si="7"/>
        <v>91740</v>
      </c>
      <c r="U31" s="256">
        <f t="shared" si="6"/>
        <v>0</v>
      </c>
    </row>
    <row r="32" spans="1:22" ht="16.95" customHeight="1" x14ac:dyDescent="0.3">
      <c r="A32" s="244">
        <v>235</v>
      </c>
      <c r="B32" s="28" t="s">
        <v>472</v>
      </c>
      <c r="C32" s="28" t="s">
        <v>337</v>
      </c>
      <c r="D32" s="37" t="s">
        <v>605</v>
      </c>
      <c r="E32" s="28" t="s">
        <v>40</v>
      </c>
      <c r="F32" s="28" t="s">
        <v>38</v>
      </c>
      <c r="G32" s="39">
        <v>1129250</v>
      </c>
      <c r="H32" s="245">
        <v>2.5000000000000001E-3</v>
      </c>
      <c r="I32" s="34">
        <f t="shared" si="0"/>
        <v>658825</v>
      </c>
      <c r="J32" s="246">
        <v>550000</v>
      </c>
      <c r="K32" s="247">
        <v>110</v>
      </c>
      <c r="L32" s="248">
        <f t="shared" si="1"/>
        <v>0.75</v>
      </c>
      <c r="M32" s="249">
        <f t="shared" si="2"/>
        <v>412500</v>
      </c>
      <c r="N32" s="250">
        <f t="shared" si="3"/>
        <v>579250</v>
      </c>
      <c r="O32" s="251">
        <v>65</v>
      </c>
      <c r="P32" s="252">
        <v>0.1</v>
      </c>
      <c r="Q32" s="250">
        <v>0</v>
      </c>
      <c r="R32" s="253">
        <v>57925</v>
      </c>
      <c r="S32" s="254">
        <f t="shared" si="5"/>
        <v>470425</v>
      </c>
      <c r="T32" s="255">
        <f t="shared" si="7"/>
        <v>550000</v>
      </c>
      <c r="U32" s="256">
        <f t="shared" si="6"/>
        <v>0</v>
      </c>
    </row>
    <row r="33" spans="1:21" ht="16.95" customHeight="1" x14ac:dyDescent="0.3">
      <c r="A33" s="244">
        <v>234</v>
      </c>
      <c r="B33" s="28" t="s">
        <v>476</v>
      </c>
      <c r="C33" s="28" t="s">
        <v>200</v>
      </c>
      <c r="D33" s="28" t="s">
        <v>572</v>
      </c>
      <c r="E33" s="259" t="s">
        <v>14</v>
      </c>
      <c r="F33" s="28" t="s">
        <v>17</v>
      </c>
      <c r="G33" s="39">
        <v>28881</v>
      </c>
      <c r="H33" s="245">
        <v>2.5000000000000001E-3</v>
      </c>
      <c r="I33" s="34">
        <f t="shared" si="0"/>
        <v>26570</v>
      </c>
      <c r="J33" s="246">
        <v>9242</v>
      </c>
      <c r="K33" s="247">
        <v>55</v>
      </c>
      <c r="L33" s="248">
        <f t="shared" si="1"/>
        <v>0.25</v>
      </c>
      <c r="M33" s="249">
        <f t="shared" si="2"/>
        <v>2311</v>
      </c>
      <c r="N33" s="250">
        <f t="shared" si="3"/>
        <v>19639</v>
      </c>
      <c r="O33" s="251">
        <v>25</v>
      </c>
      <c r="P33" s="252">
        <v>0</v>
      </c>
      <c r="Q33" s="250">
        <v>0</v>
      </c>
      <c r="R33" s="253"/>
      <c r="S33" s="254">
        <f t="shared" si="5"/>
        <v>2311</v>
      </c>
      <c r="T33" s="255">
        <f t="shared" si="7"/>
        <v>9242</v>
      </c>
      <c r="U33" s="256">
        <f t="shared" si="6"/>
        <v>0</v>
      </c>
    </row>
    <row r="34" spans="1:21" ht="16.95" customHeight="1" x14ac:dyDescent="0.3">
      <c r="A34" s="244">
        <v>229</v>
      </c>
      <c r="B34" s="28" t="s">
        <v>517</v>
      </c>
      <c r="C34" s="28" t="s">
        <v>387</v>
      </c>
      <c r="D34" s="28" t="s">
        <v>568</v>
      </c>
      <c r="E34" s="28" t="s">
        <v>113</v>
      </c>
      <c r="F34" s="28" t="s">
        <v>17</v>
      </c>
      <c r="G34" s="34">
        <v>47400</v>
      </c>
      <c r="H34" s="245">
        <v>2.5000000000000001E-3</v>
      </c>
      <c r="I34" s="34">
        <f t="shared" si="0"/>
        <v>37538</v>
      </c>
      <c r="J34" s="246">
        <v>19724</v>
      </c>
      <c r="K34" s="247">
        <v>100</v>
      </c>
      <c r="L34" s="248">
        <f t="shared" si="1"/>
        <v>0.5</v>
      </c>
      <c r="M34" s="249">
        <f t="shared" si="2"/>
        <v>9862</v>
      </c>
      <c r="N34" s="250">
        <f t="shared" si="3"/>
        <v>27676</v>
      </c>
      <c r="O34" s="251">
        <v>150</v>
      </c>
      <c r="P34" s="252">
        <v>0.4</v>
      </c>
      <c r="Q34" s="250">
        <v>0</v>
      </c>
      <c r="R34" s="253"/>
      <c r="S34" s="254">
        <f t="shared" si="5"/>
        <v>9862</v>
      </c>
      <c r="T34" s="255">
        <f t="shared" si="7"/>
        <v>19724</v>
      </c>
      <c r="U34" s="256">
        <f t="shared" si="6"/>
        <v>0</v>
      </c>
    </row>
    <row r="35" spans="1:21" ht="16.95" customHeight="1" x14ac:dyDescent="0.3">
      <c r="A35" s="244">
        <v>225</v>
      </c>
      <c r="B35" s="28" t="s">
        <v>475</v>
      </c>
      <c r="C35" s="28" t="s">
        <v>148</v>
      </c>
      <c r="D35" s="28" t="s">
        <v>568</v>
      </c>
      <c r="E35" s="28" t="s">
        <v>89</v>
      </c>
      <c r="F35" s="28" t="s">
        <v>38</v>
      </c>
      <c r="G35" s="34">
        <v>63000</v>
      </c>
      <c r="H35" s="245">
        <v>2.5000000000000001E-3</v>
      </c>
      <c r="I35" s="34">
        <f t="shared" si="0"/>
        <v>31500</v>
      </c>
      <c r="J35" s="246">
        <v>63000</v>
      </c>
      <c r="K35" s="247">
        <v>65</v>
      </c>
      <c r="L35" s="248">
        <f t="shared" si="1"/>
        <v>0.5</v>
      </c>
      <c r="M35" s="249">
        <f t="shared" si="2"/>
        <v>31500</v>
      </c>
      <c r="N35" s="250">
        <f t="shared" si="3"/>
        <v>0</v>
      </c>
      <c r="O35" s="251">
        <v>65</v>
      </c>
      <c r="P35" s="252">
        <v>0.1</v>
      </c>
      <c r="Q35" s="250">
        <v>0</v>
      </c>
      <c r="R35" s="253"/>
      <c r="S35" s="254">
        <f t="shared" si="5"/>
        <v>31500</v>
      </c>
      <c r="T35" s="255">
        <f t="shared" si="7"/>
        <v>63000</v>
      </c>
      <c r="U35" s="256">
        <f t="shared" si="6"/>
        <v>0</v>
      </c>
    </row>
    <row r="36" spans="1:21" ht="16.95" customHeight="1" x14ac:dyDescent="0.3">
      <c r="A36" s="244">
        <v>216</v>
      </c>
      <c r="B36" s="210" t="s">
        <v>515</v>
      </c>
      <c r="C36" s="210" t="s">
        <v>365</v>
      </c>
      <c r="D36" s="28" t="s">
        <v>568</v>
      </c>
      <c r="E36" s="2" t="s">
        <v>119</v>
      </c>
      <c r="F36" s="210" t="s">
        <v>60</v>
      </c>
      <c r="G36" s="49">
        <v>286600</v>
      </c>
      <c r="H36" s="257">
        <v>2.5000000000000001E-3</v>
      </c>
      <c r="I36" s="34">
        <f t="shared" si="0"/>
        <v>82050</v>
      </c>
      <c r="J36" s="246">
        <v>245000</v>
      </c>
      <c r="K36" s="260">
        <v>125</v>
      </c>
      <c r="L36" s="248">
        <f t="shared" si="1"/>
        <v>0.75</v>
      </c>
      <c r="M36" s="249">
        <f t="shared" si="2"/>
        <v>183750</v>
      </c>
      <c r="N36" s="250">
        <f t="shared" si="3"/>
        <v>41600</v>
      </c>
      <c r="O36" s="261">
        <v>165</v>
      </c>
      <c r="P36" s="252">
        <v>0.45</v>
      </c>
      <c r="Q36" s="250">
        <v>0</v>
      </c>
      <c r="R36" s="253">
        <v>20800</v>
      </c>
      <c r="S36" s="254">
        <f t="shared" si="5"/>
        <v>204550</v>
      </c>
      <c r="T36" s="255">
        <f t="shared" si="7"/>
        <v>245000</v>
      </c>
      <c r="U36" s="256">
        <f t="shared" si="6"/>
        <v>0</v>
      </c>
    </row>
    <row r="37" spans="1:21" ht="16.95" customHeight="1" x14ac:dyDescent="0.3">
      <c r="A37" s="244">
        <v>214</v>
      </c>
      <c r="B37" s="28" t="s">
        <v>503</v>
      </c>
      <c r="C37" s="28" t="s">
        <v>153</v>
      </c>
      <c r="D37" s="28" t="s">
        <v>568</v>
      </c>
      <c r="E37" s="28" t="s">
        <v>113</v>
      </c>
      <c r="F37" s="28" t="s">
        <v>60</v>
      </c>
      <c r="G37" s="34">
        <v>257088</v>
      </c>
      <c r="H37" s="245">
        <v>2.5000000000000001E-3</v>
      </c>
      <c r="I37" s="34">
        <f t="shared" si="0"/>
        <v>213198</v>
      </c>
      <c r="J37" s="246">
        <v>175560</v>
      </c>
      <c r="K37" s="247">
        <v>50</v>
      </c>
      <c r="L37" s="248">
        <f t="shared" si="1"/>
        <v>0.25</v>
      </c>
      <c r="M37" s="249">
        <f t="shared" si="2"/>
        <v>43890</v>
      </c>
      <c r="N37" s="250">
        <f t="shared" si="3"/>
        <v>81528</v>
      </c>
      <c r="O37" s="251">
        <v>120</v>
      </c>
      <c r="P37" s="252">
        <v>0.3</v>
      </c>
      <c r="Q37" s="250">
        <v>0</v>
      </c>
      <c r="R37" s="253"/>
      <c r="S37" s="254">
        <f t="shared" si="5"/>
        <v>43890</v>
      </c>
      <c r="T37" s="255">
        <f t="shared" si="7"/>
        <v>175560</v>
      </c>
      <c r="U37" s="256">
        <f t="shared" si="6"/>
        <v>0</v>
      </c>
    </row>
    <row r="38" spans="1:21" ht="16.95" customHeight="1" x14ac:dyDescent="0.3">
      <c r="A38" s="244">
        <v>210</v>
      </c>
      <c r="B38" s="28" t="s">
        <v>502</v>
      </c>
      <c r="C38" s="28" t="s">
        <v>143</v>
      </c>
      <c r="D38" s="28" t="s">
        <v>568</v>
      </c>
      <c r="E38" s="28" t="s">
        <v>144</v>
      </c>
      <c r="F38" s="28" t="s">
        <v>13</v>
      </c>
      <c r="G38" s="34">
        <v>1404000</v>
      </c>
      <c r="H38" s="245">
        <v>2.5000000000000001E-3</v>
      </c>
      <c r="I38" s="34">
        <f t="shared" si="0"/>
        <v>381375</v>
      </c>
      <c r="J38" s="246">
        <v>1336500</v>
      </c>
      <c r="K38" s="247">
        <v>110</v>
      </c>
      <c r="L38" s="248">
        <f t="shared" si="1"/>
        <v>0.75</v>
      </c>
      <c r="M38" s="249">
        <f t="shared" si="2"/>
        <v>1002375</v>
      </c>
      <c r="N38" s="250">
        <f t="shared" si="3"/>
        <v>67500</v>
      </c>
      <c r="O38" s="251">
        <v>120</v>
      </c>
      <c r="P38" s="252">
        <v>0.3</v>
      </c>
      <c r="Q38" s="250">
        <v>0</v>
      </c>
      <c r="R38" s="253">
        <v>20250</v>
      </c>
      <c r="S38" s="254">
        <f t="shared" si="5"/>
        <v>1022625</v>
      </c>
      <c r="T38" s="255">
        <f t="shared" si="7"/>
        <v>1336500</v>
      </c>
      <c r="U38" s="256">
        <f t="shared" si="6"/>
        <v>0</v>
      </c>
    </row>
    <row r="39" spans="1:21" ht="16.95" customHeight="1" x14ac:dyDescent="0.3">
      <c r="A39" s="244">
        <v>210</v>
      </c>
      <c r="B39" s="28" t="s">
        <v>506</v>
      </c>
      <c r="C39" s="28" t="s">
        <v>174</v>
      </c>
      <c r="D39" s="28" t="s">
        <v>568</v>
      </c>
      <c r="E39" s="28" t="s">
        <v>129</v>
      </c>
      <c r="F39" s="28" t="s">
        <v>39</v>
      </c>
      <c r="G39" s="34">
        <v>698000</v>
      </c>
      <c r="H39" s="245">
        <v>2.5000000000000001E-3</v>
      </c>
      <c r="I39" s="34">
        <f t="shared" si="0"/>
        <v>698000</v>
      </c>
      <c r="J39" s="246">
        <v>447500</v>
      </c>
      <c r="K39" s="247">
        <v>15</v>
      </c>
      <c r="L39" s="248">
        <f t="shared" si="1"/>
        <v>0</v>
      </c>
      <c r="M39" s="249">
        <f t="shared" si="2"/>
        <v>0</v>
      </c>
      <c r="N39" s="250">
        <f t="shared" si="3"/>
        <v>250500</v>
      </c>
      <c r="O39" s="251">
        <v>35</v>
      </c>
      <c r="P39" s="252">
        <v>0</v>
      </c>
      <c r="Q39" s="250">
        <v>0</v>
      </c>
      <c r="R39" s="253"/>
      <c r="S39" s="254">
        <f t="shared" si="5"/>
        <v>0</v>
      </c>
      <c r="T39" s="255">
        <f t="shared" si="7"/>
        <v>447500</v>
      </c>
      <c r="U39" s="256">
        <f t="shared" si="6"/>
        <v>0</v>
      </c>
    </row>
    <row r="40" spans="1:21" ht="16.95" customHeight="1" x14ac:dyDescent="0.3">
      <c r="A40" s="244">
        <v>210</v>
      </c>
      <c r="B40" s="28" t="s">
        <v>476</v>
      </c>
      <c r="C40" s="28" t="s">
        <v>202</v>
      </c>
      <c r="D40" s="28" t="s">
        <v>573</v>
      </c>
      <c r="E40" s="259" t="s">
        <v>14</v>
      </c>
      <c r="F40" s="28" t="s">
        <v>17</v>
      </c>
      <c r="G40" s="39">
        <v>363659</v>
      </c>
      <c r="H40" s="245">
        <v>2.5000000000000001E-3</v>
      </c>
      <c r="I40" s="34">
        <f t="shared" si="0"/>
        <v>147576</v>
      </c>
      <c r="J40" s="246">
        <v>216083</v>
      </c>
      <c r="K40" s="247">
        <v>145</v>
      </c>
      <c r="L40" s="248">
        <f t="shared" si="1"/>
        <v>1</v>
      </c>
      <c r="M40" s="249">
        <f t="shared" si="2"/>
        <v>216083</v>
      </c>
      <c r="N40" s="250">
        <f t="shared" si="3"/>
        <v>147576</v>
      </c>
      <c r="O40" s="251">
        <v>25</v>
      </c>
      <c r="P40" s="252">
        <v>0</v>
      </c>
      <c r="Q40" s="250">
        <v>0</v>
      </c>
      <c r="R40" s="253"/>
      <c r="S40" s="254">
        <f t="shared" si="5"/>
        <v>216083</v>
      </c>
      <c r="T40" s="255">
        <f t="shared" si="7"/>
        <v>216083</v>
      </c>
      <c r="U40" s="256">
        <f t="shared" si="6"/>
        <v>0</v>
      </c>
    </row>
    <row r="41" spans="1:21" ht="16.95" customHeight="1" x14ac:dyDescent="0.3">
      <c r="A41" s="244">
        <v>210</v>
      </c>
      <c r="B41" s="28" t="s">
        <v>508</v>
      </c>
      <c r="C41" s="28" t="s">
        <v>267</v>
      </c>
      <c r="D41" s="28" t="s">
        <v>568</v>
      </c>
      <c r="E41" s="28" t="s">
        <v>129</v>
      </c>
      <c r="F41" s="28" t="s">
        <v>60</v>
      </c>
      <c r="G41" s="34">
        <v>175000</v>
      </c>
      <c r="H41" s="245">
        <v>2.5000000000000001E-3</v>
      </c>
      <c r="I41" s="34">
        <f t="shared" si="0"/>
        <v>60750</v>
      </c>
      <c r="J41" s="246">
        <v>90000</v>
      </c>
      <c r="K41" s="247">
        <v>125</v>
      </c>
      <c r="L41" s="248">
        <f t="shared" si="1"/>
        <v>0.75</v>
      </c>
      <c r="M41" s="249">
        <f t="shared" si="2"/>
        <v>67500</v>
      </c>
      <c r="N41" s="250">
        <f t="shared" si="3"/>
        <v>85000</v>
      </c>
      <c r="O41" s="251">
        <v>105</v>
      </c>
      <c r="P41" s="252">
        <v>0.25</v>
      </c>
      <c r="Q41" s="250">
        <v>0</v>
      </c>
      <c r="R41" s="253">
        <v>46750</v>
      </c>
      <c r="S41" s="254">
        <f t="shared" si="5"/>
        <v>114250</v>
      </c>
      <c r="T41" s="255">
        <f t="shared" si="7"/>
        <v>90000</v>
      </c>
      <c r="U41" s="256">
        <f t="shared" si="6"/>
        <v>0</v>
      </c>
    </row>
    <row r="42" spans="1:21" ht="16.95" customHeight="1" x14ac:dyDescent="0.3">
      <c r="A42" s="244">
        <v>206</v>
      </c>
      <c r="B42" s="28" t="s">
        <v>472</v>
      </c>
      <c r="C42" s="28" t="s">
        <v>339</v>
      </c>
      <c r="D42" s="28" t="s">
        <v>606</v>
      </c>
      <c r="E42" s="28" t="s">
        <v>40</v>
      </c>
      <c r="F42" s="28" t="s">
        <v>38</v>
      </c>
      <c r="G42" s="39">
        <v>1129250</v>
      </c>
      <c r="H42" s="245">
        <v>2.5000000000000001E-3</v>
      </c>
      <c r="I42" s="34">
        <f t="shared" si="0"/>
        <v>933825</v>
      </c>
      <c r="J42" s="246">
        <v>550000</v>
      </c>
      <c r="K42" s="247">
        <v>50</v>
      </c>
      <c r="L42" s="248">
        <f t="shared" si="1"/>
        <v>0.25</v>
      </c>
      <c r="M42" s="249">
        <f t="shared" si="2"/>
        <v>137500</v>
      </c>
      <c r="N42" s="250">
        <f t="shared" si="3"/>
        <v>579250</v>
      </c>
      <c r="O42" s="251">
        <v>65</v>
      </c>
      <c r="P42" s="252">
        <v>0.1</v>
      </c>
      <c r="Q42" s="250">
        <v>0</v>
      </c>
      <c r="R42" s="253">
        <v>57925</v>
      </c>
      <c r="S42" s="254">
        <f t="shared" si="5"/>
        <v>195425</v>
      </c>
      <c r="T42" s="255">
        <f t="shared" si="7"/>
        <v>550000</v>
      </c>
      <c r="U42" s="256">
        <f t="shared" si="6"/>
        <v>0</v>
      </c>
    </row>
    <row r="43" spans="1:21" ht="16.95" customHeight="1" x14ac:dyDescent="0.3">
      <c r="A43" s="244">
        <v>204</v>
      </c>
      <c r="B43" s="28" t="s">
        <v>474</v>
      </c>
      <c r="C43" s="28" t="s">
        <v>286</v>
      </c>
      <c r="D43" s="28" t="s">
        <v>574</v>
      </c>
      <c r="E43" s="28" t="s">
        <v>43</v>
      </c>
      <c r="F43" s="28" t="s">
        <v>38</v>
      </c>
      <c r="G43" s="34">
        <v>1496250</v>
      </c>
      <c r="H43" s="245">
        <v>2.5000000000000001E-3</v>
      </c>
      <c r="I43" s="34">
        <f t="shared" si="0"/>
        <v>1496250</v>
      </c>
      <c r="J43" s="246">
        <v>675000</v>
      </c>
      <c r="K43" s="247">
        <v>20</v>
      </c>
      <c r="L43" s="248">
        <f t="shared" si="1"/>
        <v>0</v>
      </c>
      <c r="M43" s="249">
        <f t="shared" si="2"/>
        <v>0</v>
      </c>
      <c r="N43" s="250">
        <f t="shared" si="3"/>
        <v>821250</v>
      </c>
      <c r="O43" s="251">
        <v>0</v>
      </c>
      <c r="P43" s="252">
        <v>0</v>
      </c>
      <c r="Q43" s="250">
        <f>ROUNDUP((N43*P43),0)</f>
        <v>0</v>
      </c>
      <c r="R43" s="253"/>
      <c r="S43" s="254">
        <f t="shared" si="5"/>
        <v>0</v>
      </c>
      <c r="T43" s="255">
        <f t="shared" si="7"/>
        <v>675000</v>
      </c>
      <c r="U43" s="256">
        <f t="shared" si="6"/>
        <v>0</v>
      </c>
    </row>
    <row r="44" spans="1:21" ht="16.95" customHeight="1" x14ac:dyDescent="0.3">
      <c r="A44" s="244">
        <v>201</v>
      </c>
      <c r="B44" s="28" t="s">
        <v>516</v>
      </c>
      <c r="C44" s="28" t="s">
        <v>369</v>
      </c>
      <c r="D44" s="28" t="s">
        <v>568</v>
      </c>
      <c r="E44" s="28" t="s">
        <v>41</v>
      </c>
      <c r="F44" s="28" t="s">
        <v>17</v>
      </c>
      <c r="G44" s="34">
        <v>267025</v>
      </c>
      <c r="H44" s="245">
        <v>2.5000000000000001E-3</v>
      </c>
      <c r="I44" s="34">
        <f t="shared" si="0"/>
        <v>133512</v>
      </c>
      <c r="J44" s="246">
        <v>267025</v>
      </c>
      <c r="K44" s="247">
        <v>100</v>
      </c>
      <c r="L44" s="248">
        <f t="shared" si="1"/>
        <v>0.5</v>
      </c>
      <c r="M44" s="249">
        <f t="shared" si="2"/>
        <v>133513</v>
      </c>
      <c r="N44" s="250">
        <f t="shared" si="3"/>
        <v>0</v>
      </c>
      <c r="O44" s="251">
        <v>120</v>
      </c>
      <c r="P44" s="252">
        <v>0.3</v>
      </c>
      <c r="Q44" s="250">
        <f>ROUNDUP((N44*P44),0)</f>
        <v>0</v>
      </c>
      <c r="R44" s="253"/>
      <c r="S44" s="254">
        <f t="shared" si="5"/>
        <v>133513</v>
      </c>
      <c r="T44" s="255">
        <f t="shared" si="7"/>
        <v>267025</v>
      </c>
      <c r="U44" s="256">
        <f t="shared" si="6"/>
        <v>0</v>
      </c>
    </row>
    <row r="45" spans="1:21" ht="16.95" customHeight="1" x14ac:dyDescent="0.3">
      <c r="A45" s="244">
        <v>193</v>
      </c>
      <c r="B45" s="28" t="s">
        <v>501</v>
      </c>
      <c r="C45" s="28" t="s">
        <v>140</v>
      </c>
      <c r="D45" s="28" t="s">
        <v>568</v>
      </c>
      <c r="E45" s="28" t="s">
        <v>43</v>
      </c>
      <c r="F45" s="28" t="s">
        <v>38</v>
      </c>
      <c r="G45" s="34">
        <v>970600</v>
      </c>
      <c r="H45" s="245">
        <v>2.5000000000000001E-3</v>
      </c>
      <c r="I45" s="34">
        <f t="shared" si="0"/>
        <v>970600</v>
      </c>
      <c r="J45" s="246">
        <v>460600</v>
      </c>
      <c r="K45" s="247">
        <v>10</v>
      </c>
      <c r="L45" s="248">
        <f t="shared" si="1"/>
        <v>0</v>
      </c>
      <c r="M45" s="249">
        <f t="shared" si="2"/>
        <v>0</v>
      </c>
      <c r="N45" s="250">
        <f t="shared" si="3"/>
        <v>510000</v>
      </c>
      <c r="O45" s="251">
        <v>5</v>
      </c>
      <c r="P45" s="252">
        <v>0</v>
      </c>
      <c r="Q45" s="250">
        <f>ROUNDUP((N45*P45),0)</f>
        <v>0</v>
      </c>
      <c r="R45" s="253"/>
      <c r="S45" s="254">
        <f t="shared" si="5"/>
        <v>0</v>
      </c>
      <c r="T45" s="255">
        <f t="shared" si="7"/>
        <v>460600</v>
      </c>
      <c r="U45" s="256">
        <f t="shared" si="6"/>
        <v>0</v>
      </c>
    </row>
    <row r="46" spans="1:21" ht="16.95" customHeight="1" x14ac:dyDescent="0.3">
      <c r="A46" s="244">
        <v>190</v>
      </c>
      <c r="B46" s="28" t="s">
        <v>510</v>
      </c>
      <c r="C46" s="28" t="s">
        <v>289</v>
      </c>
      <c r="D46" s="28" t="s">
        <v>568</v>
      </c>
      <c r="E46" s="28" t="s">
        <v>75</v>
      </c>
      <c r="F46" s="28" t="s">
        <v>17</v>
      </c>
      <c r="G46" s="34">
        <v>43894</v>
      </c>
      <c r="H46" s="245">
        <v>2.5000000000000001E-3</v>
      </c>
      <c r="I46" s="34">
        <f t="shared" si="0"/>
        <v>35146</v>
      </c>
      <c r="J46" s="246">
        <v>21630</v>
      </c>
      <c r="K46" s="247">
        <v>40</v>
      </c>
      <c r="L46" s="248">
        <f t="shared" si="1"/>
        <v>0.25</v>
      </c>
      <c r="M46" s="249">
        <f t="shared" si="2"/>
        <v>5408</v>
      </c>
      <c r="N46" s="250">
        <f t="shared" si="3"/>
        <v>22264</v>
      </c>
      <c r="O46" s="251">
        <v>70</v>
      </c>
      <c r="P46" s="252">
        <v>0.15</v>
      </c>
      <c r="Q46" s="250">
        <v>0</v>
      </c>
      <c r="R46" s="253">
        <v>3340</v>
      </c>
      <c r="S46" s="254">
        <f t="shared" si="5"/>
        <v>8748</v>
      </c>
      <c r="T46" s="255">
        <f t="shared" si="7"/>
        <v>21630</v>
      </c>
      <c r="U46" s="256">
        <f t="shared" si="6"/>
        <v>0</v>
      </c>
    </row>
    <row r="47" spans="1:21" ht="16.95" customHeight="1" x14ac:dyDescent="0.3">
      <c r="A47" s="244">
        <v>189</v>
      </c>
      <c r="B47" s="28" t="s">
        <v>512</v>
      </c>
      <c r="C47" s="28" t="s">
        <v>332</v>
      </c>
      <c r="D47" s="28" t="s">
        <v>568</v>
      </c>
      <c r="E47" s="28" t="s">
        <v>42</v>
      </c>
      <c r="F47" s="28" t="s">
        <v>60</v>
      </c>
      <c r="G47" s="34">
        <v>84000</v>
      </c>
      <c r="H47" s="245">
        <v>2.5000000000000001E-3</v>
      </c>
      <c r="I47" s="34">
        <f t="shared" si="0"/>
        <v>63000</v>
      </c>
      <c r="J47" s="246">
        <v>84000</v>
      </c>
      <c r="K47" s="247">
        <v>60</v>
      </c>
      <c r="L47" s="248">
        <f t="shared" si="1"/>
        <v>0.25</v>
      </c>
      <c r="M47" s="249">
        <f t="shared" si="2"/>
        <v>21000</v>
      </c>
      <c r="N47" s="250">
        <f t="shared" si="3"/>
        <v>0</v>
      </c>
      <c r="O47" s="251">
        <v>100</v>
      </c>
      <c r="P47" s="252">
        <v>0.25</v>
      </c>
      <c r="Q47" s="250">
        <f>ROUNDUP((N47*P47),0)</f>
        <v>0</v>
      </c>
      <c r="R47" s="253"/>
      <c r="S47" s="254">
        <f t="shared" si="5"/>
        <v>21000</v>
      </c>
      <c r="T47" s="255">
        <f t="shared" si="7"/>
        <v>84000</v>
      </c>
      <c r="U47" s="256">
        <f t="shared" si="6"/>
        <v>0</v>
      </c>
    </row>
    <row r="48" spans="1:21" ht="16.95" customHeight="1" x14ac:dyDescent="0.3">
      <c r="A48" s="154"/>
      <c r="B48" s="19"/>
      <c r="C48" s="20"/>
      <c r="D48" s="19"/>
      <c r="E48" s="20"/>
      <c r="F48" s="20"/>
      <c r="G48" s="12">
        <f>SUM(G6:G47)</f>
        <v>74140560</v>
      </c>
      <c r="H48" s="214" t="s">
        <v>24</v>
      </c>
      <c r="I48" s="12">
        <f>SUM(I6:I47)</f>
        <v>30457444</v>
      </c>
      <c r="J48" s="12">
        <f>SUM(J6:J47)</f>
        <v>48112414</v>
      </c>
      <c r="K48" s="262"/>
      <c r="L48" s="215"/>
      <c r="M48" s="12">
        <f>SUM(M6:M47)</f>
        <v>38147516</v>
      </c>
      <c r="N48" s="12">
        <f>SUM(N6:N47)</f>
        <v>26028146</v>
      </c>
      <c r="O48" s="215"/>
      <c r="P48" s="215"/>
      <c r="Q48" s="12">
        <f>SUM(Q6:Q47)</f>
        <v>5153134</v>
      </c>
      <c r="R48" s="12">
        <f>SUM(R6:R47)</f>
        <v>382466</v>
      </c>
      <c r="S48" s="12">
        <f>SUM(S6:S47)</f>
        <v>43683116</v>
      </c>
      <c r="T48" s="155">
        <f>SUM(T6:T47)</f>
        <v>59601364.81818182</v>
      </c>
      <c r="U48" s="256"/>
    </row>
    <row r="49" spans="1:20" ht="16.95" customHeight="1" x14ac:dyDescent="0.3">
      <c r="A49" s="335" t="s">
        <v>575</v>
      </c>
      <c r="B49" s="336"/>
      <c r="C49" s="336"/>
      <c r="D49" s="336"/>
      <c r="E49" s="336"/>
      <c r="F49" s="336"/>
      <c r="G49" s="336"/>
      <c r="H49" s="336"/>
      <c r="I49" s="336"/>
      <c r="J49" s="336"/>
      <c r="K49" s="336"/>
      <c r="L49" s="336"/>
      <c r="M49" s="336"/>
      <c r="N49" s="336"/>
      <c r="O49" s="336"/>
      <c r="P49" s="336"/>
      <c r="Q49" s="336"/>
      <c r="R49" s="336"/>
      <c r="S49" s="336"/>
      <c r="T49" s="263"/>
    </row>
    <row r="50" spans="1:20" s="275" customFormat="1" ht="16.95" customHeight="1" x14ac:dyDescent="0.3">
      <c r="A50" s="264">
        <v>45195</v>
      </c>
      <c r="B50" s="265" t="s">
        <v>474</v>
      </c>
      <c r="C50" s="265" t="s">
        <v>446</v>
      </c>
      <c r="D50" s="266" t="s">
        <v>576</v>
      </c>
      <c r="E50" s="267" t="s">
        <v>43</v>
      </c>
      <c r="F50" s="265" t="s">
        <v>38</v>
      </c>
      <c r="G50" s="268">
        <v>315000</v>
      </c>
      <c r="H50" s="269">
        <v>2.5000000000000001E-3</v>
      </c>
      <c r="I50" s="270"/>
      <c r="J50" s="270"/>
      <c r="K50" s="271"/>
      <c r="L50" s="248">
        <f>IF(K50&gt;=135,1,IF(K50&gt;=105,0.75,IF(K50&gt;=65,0.5,IF(K50&gt;=40,0.25,IF(K50&lt;40,0)))))</f>
        <v>0</v>
      </c>
      <c r="M50" s="272">
        <f>ROUNDUP((L50*J50),0)</f>
        <v>0</v>
      </c>
      <c r="N50" s="272"/>
      <c r="O50" s="267"/>
      <c r="P50" s="248">
        <v>0</v>
      </c>
      <c r="Q50" s="272">
        <f>ROUNDUP((N50*P50),0)</f>
        <v>0</v>
      </c>
      <c r="R50" s="272">
        <v>0</v>
      </c>
      <c r="S50" s="273">
        <v>0</v>
      </c>
      <c r="T50" s="274"/>
    </row>
    <row r="51" spans="1:20" s="178" customFormat="1" ht="8.4" customHeight="1" x14ac:dyDescent="0.3">
      <c r="A51" s="146"/>
      <c r="B51" s="276"/>
      <c r="C51" s="276"/>
      <c r="D51" s="277"/>
      <c r="E51" s="278"/>
      <c r="F51" s="276"/>
      <c r="G51" s="279"/>
      <c r="H51" s="280"/>
      <c r="I51" s="279"/>
      <c r="J51" s="279"/>
      <c r="K51" s="281"/>
      <c r="L51" s="282"/>
      <c r="M51" s="112"/>
      <c r="N51" s="112"/>
      <c r="O51" s="278"/>
      <c r="P51" s="282"/>
      <c r="Q51" s="112"/>
      <c r="R51" s="112"/>
      <c r="S51" s="283"/>
      <c r="T51" s="230"/>
    </row>
    <row r="52" spans="1:20" ht="16.95" customHeight="1" x14ac:dyDescent="0.25">
      <c r="A52" s="337" t="s">
        <v>401</v>
      </c>
      <c r="B52" s="338"/>
      <c r="C52" s="338"/>
      <c r="D52" s="338"/>
      <c r="E52" s="338"/>
      <c r="F52" s="338"/>
      <c r="G52" s="338"/>
      <c r="H52" s="338"/>
      <c r="I52" s="338"/>
      <c r="J52" s="338"/>
      <c r="K52" s="338"/>
      <c r="L52" s="338"/>
      <c r="M52" s="338"/>
      <c r="N52" s="338"/>
      <c r="O52" s="338"/>
      <c r="P52" s="338"/>
      <c r="Q52" s="338"/>
      <c r="R52" s="338"/>
      <c r="S52" s="338"/>
      <c r="T52" s="339"/>
    </row>
    <row r="53" spans="1:20" ht="16.95" customHeight="1" x14ac:dyDescent="0.25">
      <c r="A53" s="327" t="s">
        <v>577</v>
      </c>
      <c r="B53" s="328"/>
      <c r="C53" s="328"/>
      <c r="D53" s="328"/>
      <c r="E53" s="328"/>
      <c r="F53" s="328"/>
      <c r="G53" s="328"/>
      <c r="H53" s="328"/>
      <c r="I53" s="328"/>
      <c r="J53" s="328"/>
      <c r="K53" s="328"/>
      <c r="L53" s="328"/>
      <c r="M53" s="328"/>
      <c r="N53" s="328"/>
      <c r="O53" s="328"/>
      <c r="P53" s="328"/>
      <c r="Q53" s="328"/>
      <c r="R53" s="328"/>
      <c r="S53" s="328"/>
      <c r="T53" s="329"/>
    </row>
    <row r="54" spans="1:20" ht="16.95" customHeight="1" x14ac:dyDescent="0.25">
      <c r="A54" s="327" t="s">
        <v>578</v>
      </c>
      <c r="B54" s="328"/>
      <c r="C54" s="328"/>
      <c r="D54" s="328"/>
      <c r="E54" s="328"/>
      <c r="F54" s="328"/>
      <c r="G54" s="328"/>
      <c r="H54" s="328"/>
      <c r="I54" s="328"/>
      <c r="J54" s="328"/>
      <c r="K54" s="328"/>
      <c r="L54" s="328"/>
      <c r="M54" s="328"/>
      <c r="N54" s="328"/>
      <c r="O54" s="328"/>
      <c r="P54" s="328"/>
      <c r="Q54" s="328"/>
      <c r="R54" s="328"/>
      <c r="S54" s="328"/>
      <c r="T54" s="329"/>
    </row>
    <row r="55" spans="1:20" ht="16.95" customHeight="1" x14ac:dyDescent="0.25">
      <c r="A55" s="327" t="s">
        <v>579</v>
      </c>
      <c r="B55" s="328"/>
      <c r="C55" s="328"/>
      <c r="D55" s="328"/>
      <c r="E55" s="328"/>
      <c r="F55" s="328"/>
      <c r="G55" s="328"/>
      <c r="H55" s="328"/>
      <c r="I55" s="328"/>
      <c r="J55" s="328"/>
      <c r="K55" s="328"/>
      <c r="L55" s="328"/>
      <c r="M55" s="328"/>
      <c r="N55" s="328"/>
      <c r="O55" s="328"/>
      <c r="P55" s="328"/>
      <c r="Q55" s="328"/>
      <c r="R55" s="328"/>
      <c r="S55" s="328"/>
      <c r="T55" s="329"/>
    </row>
    <row r="56" spans="1:20" ht="16.95" customHeight="1" thickBot="1" x14ac:dyDescent="0.3">
      <c r="A56" s="330" t="s">
        <v>580</v>
      </c>
      <c r="B56" s="331"/>
      <c r="C56" s="331"/>
      <c r="D56" s="331"/>
      <c r="E56" s="331"/>
      <c r="F56" s="331"/>
      <c r="G56" s="331"/>
      <c r="H56" s="331"/>
      <c r="I56" s="331"/>
      <c r="J56" s="331"/>
      <c r="K56" s="331"/>
      <c r="L56" s="331"/>
      <c r="M56" s="331"/>
      <c r="N56" s="331"/>
      <c r="O56" s="331"/>
      <c r="P56" s="331"/>
      <c r="Q56" s="331"/>
      <c r="R56" s="331"/>
      <c r="S56" s="331"/>
      <c r="T56" s="332"/>
    </row>
  </sheetData>
  <autoFilter ref="A5:V50" xr:uid="{FE079534-F4B9-4902-9EE7-3E76C654AF00}">
    <sortState xmlns:xlrd2="http://schemas.microsoft.com/office/spreadsheetml/2017/richdata2" ref="A7:V47">
      <sortCondition descending="1" ref="A5"/>
    </sortState>
  </autoFilter>
  <mergeCells count="20">
    <mergeCell ref="A56:T56"/>
    <mergeCell ref="S4:S5"/>
    <mergeCell ref="T4:T5"/>
    <mergeCell ref="A49:S49"/>
    <mergeCell ref="A52:T52"/>
    <mergeCell ref="A53:T53"/>
    <mergeCell ref="A54:T54"/>
    <mergeCell ref="G4:G5"/>
    <mergeCell ref="H4:H5"/>
    <mergeCell ref="I4:I5"/>
    <mergeCell ref="J4:M4"/>
    <mergeCell ref="N4:Q4"/>
    <mergeCell ref="R4:R5"/>
    <mergeCell ref="A4:A5"/>
    <mergeCell ref="B4:B5"/>
    <mergeCell ref="C4:C5"/>
    <mergeCell ref="D4:D5"/>
    <mergeCell ref="E4:E5"/>
    <mergeCell ref="F4:F5"/>
    <mergeCell ref="A55:T55"/>
  </mergeCells>
  <pageMargins left="0.7" right="0.7" top="0.75" bottom="0.75" header="0.3" footer="0.3"/>
  <pageSetup scale="53" orientation="landscape" r:id="rId1"/>
  <headerFooter>
    <oddHeader>&amp;C&amp;"Arial,Bold"&amp;14SDWLP SFY 2024 BIL-LSL FUNDING LIST  &amp;10
&amp;12December 15, 2023 &amp;"Arial,Regular"&amp;10
&amp;12(These projects are also listed on the primary funding list on pages 1 to 3; they are listed here with more detailed information)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7F79-BCD3-46B1-9333-C92C245ECDBF}">
  <sheetPr>
    <pageSetUpPr fitToPage="1"/>
  </sheetPr>
  <dimension ref="A1:EE21"/>
  <sheetViews>
    <sheetView tabSelected="1" topLeftCell="G1" zoomScaleNormal="100" workbookViewId="0">
      <selection activeCell="U1" sqref="U1:U1048576"/>
    </sheetView>
  </sheetViews>
  <sheetFormatPr defaultRowHeight="13.2" x14ac:dyDescent="0.25"/>
  <cols>
    <col min="1" max="3" width="8.5546875" style="3" customWidth="1"/>
    <col min="4" max="4" width="25.109375" customWidth="1"/>
    <col min="5" max="5" width="8.6640625" style="3" customWidth="1"/>
    <col min="6" max="6" width="53.6640625" customWidth="1"/>
    <col min="7" max="7" width="9.6640625" style="3" customWidth="1"/>
    <col min="8" max="8" width="12.5546875" style="3" customWidth="1"/>
    <col min="9" max="9" width="14" style="3" customWidth="1"/>
    <col min="10" max="10" width="11" style="3" customWidth="1"/>
    <col min="11" max="11" width="10.6640625" style="4" customWidth="1"/>
    <col min="12" max="12" width="14.33203125" style="5" customWidth="1"/>
    <col min="13" max="13" width="14.88671875" style="5" customWidth="1"/>
    <col min="14" max="14" width="10.5546875" style="220" customWidth="1"/>
    <col min="15" max="15" width="15.33203125" style="5" customWidth="1"/>
    <col min="16" max="16" width="8.44140625" style="173" hidden="1" customWidth="1"/>
    <col min="17" max="17" width="7.6640625" style="6" customWidth="1"/>
    <col min="18" max="18" width="14.33203125" style="5" customWidth="1"/>
    <col min="19" max="20" width="14.109375" bestFit="1" customWidth="1"/>
    <col min="21" max="21" width="12.33203125" hidden="1" customWidth="1"/>
  </cols>
  <sheetData>
    <row r="1" spans="1:135" ht="13.8" thickBot="1" x14ac:dyDescent="0.3">
      <c r="L1" s="171"/>
      <c r="M1" s="171"/>
      <c r="N1" s="172"/>
      <c r="O1" s="171"/>
      <c r="Q1" s="174"/>
      <c r="R1" s="171"/>
    </row>
    <row r="2" spans="1:135" ht="14.4" x14ac:dyDescent="0.3">
      <c r="A2" s="134"/>
      <c r="B2" s="135"/>
      <c r="C2" s="135"/>
      <c r="D2" s="137"/>
      <c r="E2" s="135"/>
      <c r="F2" s="137"/>
      <c r="G2" s="135"/>
      <c r="H2" s="135"/>
      <c r="I2" s="135"/>
      <c r="J2" s="135"/>
      <c r="K2" s="138"/>
      <c r="L2" s="139"/>
      <c r="M2" s="141"/>
      <c r="N2" s="175"/>
      <c r="O2" s="139"/>
      <c r="P2" s="176"/>
      <c r="Q2" s="140"/>
      <c r="R2" s="139"/>
      <c r="S2" s="137"/>
      <c r="T2" s="177"/>
      <c r="U2" s="178"/>
    </row>
    <row r="3" spans="1:135" ht="14.4" x14ac:dyDescent="0.3">
      <c r="A3" s="146"/>
      <c r="B3" s="179"/>
      <c r="C3" s="179"/>
      <c r="D3" s="178"/>
      <c r="E3" s="179"/>
      <c r="F3" s="178"/>
      <c r="G3" s="179"/>
      <c r="H3" s="179"/>
      <c r="I3" s="179"/>
      <c r="J3" s="179"/>
      <c r="K3" s="180"/>
      <c r="L3" s="181" t="s">
        <v>26</v>
      </c>
      <c r="M3" s="182">
        <v>67080</v>
      </c>
      <c r="N3" s="183"/>
      <c r="O3" s="44" t="s">
        <v>528</v>
      </c>
      <c r="P3" s="184"/>
      <c r="Q3" s="1"/>
      <c r="R3" s="112"/>
      <c r="S3" s="178"/>
      <c r="T3" s="185"/>
      <c r="U3" s="178"/>
    </row>
    <row r="4" spans="1:135" x14ac:dyDescent="0.25">
      <c r="A4" s="186"/>
      <c r="B4" s="187"/>
      <c r="C4" s="187"/>
      <c r="D4" s="188"/>
      <c r="E4" s="187"/>
      <c r="F4" s="188"/>
      <c r="G4" s="187"/>
      <c r="H4" s="187"/>
      <c r="I4" s="187"/>
      <c r="J4" s="187"/>
      <c r="K4" s="189"/>
      <c r="L4" s="190"/>
      <c r="M4" s="190"/>
      <c r="N4" s="191"/>
      <c r="O4" s="190"/>
      <c r="P4" s="192"/>
      <c r="Q4" s="193"/>
      <c r="R4" s="190"/>
      <c r="S4" s="188"/>
      <c r="T4" s="194"/>
      <c r="U4" s="178"/>
    </row>
    <row r="5" spans="1:135" s="2" customFormat="1" ht="73.95" customHeight="1" x14ac:dyDescent="0.3">
      <c r="A5" s="156" t="s">
        <v>0</v>
      </c>
      <c r="B5" s="13" t="s">
        <v>529</v>
      </c>
      <c r="C5" s="13" t="s">
        <v>530</v>
      </c>
      <c r="D5" s="14" t="s">
        <v>1</v>
      </c>
      <c r="E5" s="13" t="s">
        <v>2</v>
      </c>
      <c r="F5" s="14" t="s">
        <v>3</v>
      </c>
      <c r="G5" s="15" t="s">
        <v>4</v>
      </c>
      <c r="H5" s="15" t="s">
        <v>49</v>
      </c>
      <c r="I5" s="13" t="s">
        <v>5</v>
      </c>
      <c r="J5" s="120" t="s">
        <v>6</v>
      </c>
      <c r="K5" s="121" t="s">
        <v>7</v>
      </c>
      <c r="L5" s="122" t="s">
        <v>531</v>
      </c>
      <c r="M5" s="122" t="s">
        <v>8</v>
      </c>
      <c r="N5" s="125" t="s">
        <v>532</v>
      </c>
      <c r="O5" s="122" t="s">
        <v>9</v>
      </c>
      <c r="P5" s="195" t="s">
        <v>10</v>
      </c>
      <c r="Q5" s="123" t="s">
        <v>533</v>
      </c>
      <c r="R5" s="122" t="s">
        <v>534</v>
      </c>
      <c r="S5" s="196" t="s">
        <v>458</v>
      </c>
      <c r="T5" s="197" t="s">
        <v>490</v>
      </c>
      <c r="U5" s="188" t="s">
        <v>400</v>
      </c>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row>
    <row r="6" spans="1:135" ht="16.95" customHeight="1" x14ac:dyDescent="0.3">
      <c r="A6" s="198">
        <f t="shared" ref="A6:A14" si="0">B6+C6</f>
        <v>264.39999999999998</v>
      </c>
      <c r="B6" s="199">
        <f t="shared" ref="B6:B14" si="1">P6*0.5</f>
        <v>142.5</v>
      </c>
      <c r="C6" s="199">
        <v>121.9</v>
      </c>
      <c r="D6" s="28" t="s">
        <v>496</v>
      </c>
      <c r="E6" s="28" t="s">
        <v>64</v>
      </c>
      <c r="F6" s="28" t="s">
        <v>535</v>
      </c>
      <c r="G6" s="28" t="s">
        <v>12</v>
      </c>
      <c r="H6" s="28" t="s">
        <v>409</v>
      </c>
      <c r="I6" s="28" t="s">
        <v>18</v>
      </c>
      <c r="J6" s="28" t="s">
        <v>13</v>
      </c>
      <c r="K6" s="200">
        <v>1755</v>
      </c>
      <c r="L6" s="34">
        <v>34635</v>
      </c>
      <c r="M6" s="201">
        <v>5202600</v>
      </c>
      <c r="N6" s="202">
        <f t="shared" ref="N6:N14" si="2">U6</f>
        <v>0.33</v>
      </c>
      <c r="O6" s="50">
        <f>M6-T6</f>
        <v>1820910</v>
      </c>
      <c r="P6" s="203">
        <v>285</v>
      </c>
      <c r="Q6" s="29">
        <v>0.65</v>
      </c>
      <c r="R6" s="204">
        <f>ROUNDUP((M6*Q6),0)</f>
        <v>3381690</v>
      </c>
      <c r="S6" s="205">
        <v>0</v>
      </c>
      <c r="T6" s="206">
        <f t="shared" ref="T6:T14" si="3">R6+S6</f>
        <v>3381690</v>
      </c>
      <c r="U6">
        <f>IF(AND(K6&lt;10000,L6&lt;53664),33%,55%)</f>
        <v>0.33</v>
      </c>
    </row>
    <row r="7" spans="1:135" ht="16.95" customHeight="1" x14ac:dyDescent="0.3">
      <c r="A7" s="198">
        <f t="shared" si="0"/>
        <v>179.3</v>
      </c>
      <c r="B7" s="199">
        <f t="shared" si="1"/>
        <v>17.5</v>
      </c>
      <c r="C7" s="199">
        <v>161.80000000000001</v>
      </c>
      <c r="D7" s="207" t="s">
        <v>536</v>
      </c>
      <c r="E7" s="207" t="s">
        <v>328</v>
      </c>
      <c r="F7" s="28" t="s">
        <v>537</v>
      </c>
      <c r="G7" s="28" t="s">
        <v>12</v>
      </c>
      <c r="H7" s="28" t="s">
        <v>426</v>
      </c>
      <c r="I7" s="28" t="s">
        <v>327</v>
      </c>
      <c r="J7" s="28" t="s">
        <v>60</v>
      </c>
      <c r="K7" s="200">
        <v>7346</v>
      </c>
      <c r="L7" s="34">
        <v>69882</v>
      </c>
      <c r="M7" s="201">
        <v>14711850</v>
      </c>
      <c r="N7" s="202">
        <f t="shared" si="2"/>
        <v>0.55000000000000004</v>
      </c>
      <c r="O7" s="50">
        <f t="shared" ref="O7:O14" si="4">M7-T7</f>
        <v>11211850</v>
      </c>
      <c r="P7" s="203">
        <v>35</v>
      </c>
      <c r="Q7" s="29">
        <v>0.5</v>
      </c>
      <c r="R7" s="204">
        <v>3500000</v>
      </c>
      <c r="S7" s="205">
        <v>0</v>
      </c>
      <c r="T7" s="206">
        <f t="shared" si="3"/>
        <v>3500000</v>
      </c>
      <c r="U7">
        <f t="shared" ref="U7:U14" si="5">IF(AND(K7&lt;10000,L7&lt;53664),33%,55%)</f>
        <v>0.55000000000000004</v>
      </c>
    </row>
    <row r="8" spans="1:135" ht="16.95" customHeight="1" x14ac:dyDescent="0.3">
      <c r="A8" s="198">
        <f>B8+C8</f>
        <v>166.4</v>
      </c>
      <c r="B8" s="199">
        <f>P8*0.5</f>
        <v>45</v>
      </c>
      <c r="C8" s="199">
        <v>121.4</v>
      </c>
      <c r="D8" s="28" t="s">
        <v>538</v>
      </c>
      <c r="E8" s="28" t="s">
        <v>379</v>
      </c>
      <c r="F8" s="28" t="s">
        <v>539</v>
      </c>
      <c r="G8" s="28" t="s">
        <v>12</v>
      </c>
      <c r="H8" s="28" t="s">
        <v>426</v>
      </c>
      <c r="I8" s="28" t="s">
        <v>20</v>
      </c>
      <c r="J8" s="28" t="s">
        <v>60</v>
      </c>
      <c r="K8" s="36">
        <v>40199</v>
      </c>
      <c r="L8" s="208">
        <v>53800</v>
      </c>
      <c r="M8" s="201">
        <v>17400938</v>
      </c>
      <c r="N8" s="202">
        <f t="shared" si="2"/>
        <v>0.55000000000000004</v>
      </c>
      <c r="O8" s="50">
        <f>M8-T8</f>
        <v>12300938</v>
      </c>
      <c r="P8" s="203">
        <v>90</v>
      </c>
      <c r="Q8" s="29">
        <v>0.5</v>
      </c>
      <c r="R8" s="204">
        <v>3500000</v>
      </c>
      <c r="S8" s="205">
        <v>1600000</v>
      </c>
      <c r="T8" s="206">
        <f t="shared" si="3"/>
        <v>5100000</v>
      </c>
      <c r="U8">
        <f t="shared" si="5"/>
        <v>0.55000000000000004</v>
      </c>
    </row>
    <row r="9" spans="1:135" ht="16.95" customHeight="1" x14ac:dyDescent="0.3">
      <c r="A9" s="198">
        <f t="shared" si="0"/>
        <v>166.4</v>
      </c>
      <c r="B9" s="199">
        <f t="shared" si="1"/>
        <v>45</v>
      </c>
      <c r="C9" s="199">
        <v>121.4</v>
      </c>
      <c r="D9" s="28" t="s">
        <v>538</v>
      </c>
      <c r="E9" s="28" t="s">
        <v>376</v>
      </c>
      <c r="F9" s="28" t="s">
        <v>540</v>
      </c>
      <c r="G9" s="28" t="s">
        <v>12</v>
      </c>
      <c r="H9" s="28" t="s">
        <v>426</v>
      </c>
      <c r="I9" s="28" t="s">
        <v>20</v>
      </c>
      <c r="J9" s="28" t="s">
        <v>60</v>
      </c>
      <c r="K9" s="40">
        <v>40199</v>
      </c>
      <c r="L9" s="208">
        <v>53800</v>
      </c>
      <c r="M9" s="201">
        <v>1767178</v>
      </c>
      <c r="N9" s="209">
        <f t="shared" si="2"/>
        <v>0.55000000000000004</v>
      </c>
      <c r="O9" s="50">
        <f t="shared" si="4"/>
        <v>1767178</v>
      </c>
      <c r="P9" s="203">
        <v>90</v>
      </c>
      <c r="Q9" s="29">
        <v>0.5</v>
      </c>
      <c r="R9" s="204">
        <v>0</v>
      </c>
      <c r="S9" s="205">
        <v>0</v>
      </c>
      <c r="T9" s="206">
        <f t="shared" si="3"/>
        <v>0</v>
      </c>
      <c r="U9">
        <f t="shared" si="5"/>
        <v>0.55000000000000004</v>
      </c>
    </row>
    <row r="10" spans="1:135" ht="16.95" customHeight="1" x14ac:dyDescent="0.3">
      <c r="A10" s="198">
        <f t="shared" si="0"/>
        <v>150.5</v>
      </c>
      <c r="B10" s="199">
        <f t="shared" si="1"/>
        <v>10</v>
      </c>
      <c r="C10" s="199">
        <v>140.5</v>
      </c>
      <c r="D10" s="28" t="s">
        <v>478</v>
      </c>
      <c r="E10" s="28" t="s">
        <v>386</v>
      </c>
      <c r="F10" s="28" t="s">
        <v>535</v>
      </c>
      <c r="G10" s="28" t="s">
        <v>12</v>
      </c>
      <c r="H10" s="28" t="s">
        <v>426</v>
      </c>
      <c r="I10" s="28" t="s">
        <v>14</v>
      </c>
      <c r="J10" s="28" t="s">
        <v>60</v>
      </c>
      <c r="K10" s="38">
        <v>15809</v>
      </c>
      <c r="L10" s="39">
        <v>73129</v>
      </c>
      <c r="M10" s="201">
        <v>6348998</v>
      </c>
      <c r="N10" s="209">
        <f t="shared" si="2"/>
        <v>0.55000000000000004</v>
      </c>
      <c r="O10" s="50">
        <f t="shared" si="4"/>
        <v>3174499</v>
      </c>
      <c r="P10" s="203">
        <v>20</v>
      </c>
      <c r="Q10" s="29">
        <v>0.5</v>
      </c>
      <c r="R10" s="204">
        <f>ROUNDUP((M10*Q10),0)</f>
        <v>3174499</v>
      </c>
      <c r="S10" s="205">
        <v>0</v>
      </c>
      <c r="T10" s="206">
        <f t="shared" si="3"/>
        <v>3174499</v>
      </c>
      <c r="U10">
        <f t="shared" si="5"/>
        <v>0.55000000000000004</v>
      </c>
    </row>
    <row r="11" spans="1:135" ht="16.95" customHeight="1" x14ac:dyDescent="0.3">
      <c r="A11" s="198">
        <f t="shared" si="0"/>
        <v>136.5</v>
      </c>
      <c r="B11" s="199">
        <f t="shared" si="1"/>
        <v>12.5</v>
      </c>
      <c r="C11" s="199">
        <v>124</v>
      </c>
      <c r="D11" s="210" t="s">
        <v>541</v>
      </c>
      <c r="E11" s="210" t="s">
        <v>330</v>
      </c>
      <c r="F11" s="210" t="s">
        <v>542</v>
      </c>
      <c r="G11" s="28" t="s">
        <v>12</v>
      </c>
      <c r="H11" s="210" t="s">
        <v>426</v>
      </c>
      <c r="I11" s="2" t="s">
        <v>20</v>
      </c>
      <c r="J11" s="210" t="s">
        <v>60</v>
      </c>
      <c r="K11" s="36">
        <v>5581</v>
      </c>
      <c r="L11" s="208">
        <v>77917</v>
      </c>
      <c r="M11" s="211">
        <v>8453699</v>
      </c>
      <c r="N11" s="202">
        <f t="shared" si="2"/>
        <v>0.55000000000000004</v>
      </c>
      <c r="O11" s="50">
        <f t="shared" si="4"/>
        <v>4953699</v>
      </c>
      <c r="P11" s="212">
        <v>25</v>
      </c>
      <c r="Q11" s="29">
        <v>0.5</v>
      </c>
      <c r="R11" s="204">
        <v>3500000</v>
      </c>
      <c r="S11" s="205">
        <v>0</v>
      </c>
      <c r="T11" s="206">
        <f t="shared" si="3"/>
        <v>3500000</v>
      </c>
      <c r="U11">
        <f t="shared" si="5"/>
        <v>0.55000000000000004</v>
      </c>
    </row>
    <row r="12" spans="1:135" ht="16.95" customHeight="1" x14ac:dyDescent="0.3">
      <c r="A12" s="198">
        <f t="shared" si="0"/>
        <v>116.5</v>
      </c>
      <c r="B12" s="199">
        <f t="shared" si="1"/>
        <v>12.5</v>
      </c>
      <c r="C12" s="199">
        <v>104</v>
      </c>
      <c r="D12" s="28" t="s">
        <v>459</v>
      </c>
      <c r="E12" s="28" t="s">
        <v>232</v>
      </c>
      <c r="F12" s="28" t="s">
        <v>543</v>
      </c>
      <c r="G12" s="28" t="s">
        <v>15</v>
      </c>
      <c r="H12" s="28" t="s">
        <v>51</v>
      </c>
      <c r="I12" s="28" t="s">
        <v>22</v>
      </c>
      <c r="J12" s="28" t="s">
        <v>39</v>
      </c>
      <c r="K12" s="36">
        <v>279012</v>
      </c>
      <c r="L12" s="35">
        <v>70466</v>
      </c>
      <c r="M12" s="201">
        <v>5900000</v>
      </c>
      <c r="N12" s="202">
        <f t="shared" si="2"/>
        <v>0.55000000000000004</v>
      </c>
      <c r="O12" s="50">
        <f t="shared" si="4"/>
        <v>2950000</v>
      </c>
      <c r="P12" s="203">
        <v>25</v>
      </c>
      <c r="Q12" s="29">
        <v>0.5</v>
      </c>
      <c r="R12" s="204">
        <f>ROUNDUP((M12*Q12),0)</f>
        <v>2950000</v>
      </c>
      <c r="S12" s="205">
        <v>0</v>
      </c>
      <c r="T12" s="206">
        <f t="shared" si="3"/>
        <v>2950000</v>
      </c>
      <c r="U12">
        <f t="shared" si="5"/>
        <v>0.55000000000000004</v>
      </c>
    </row>
    <row r="13" spans="1:135" ht="16.95" customHeight="1" x14ac:dyDescent="0.3">
      <c r="A13" s="198">
        <f t="shared" si="0"/>
        <v>112.4</v>
      </c>
      <c r="B13" s="199">
        <f t="shared" si="1"/>
        <v>25</v>
      </c>
      <c r="C13" s="199">
        <v>87.4</v>
      </c>
      <c r="D13" s="210" t="s">
        <v>544</v>
      </c>
      <c r="E13" s="210" t="s">
        <v>161</v>
      </c>
      <c r="F13" s="210" t="s">
        <v>545</v>
      </c>
      <c r="G13" s="28" t="s">
        <v>12</v>
      </c>
      <c r="H13" s="210" t="s">
        <v>413</v>
      </c>
      <c r="I13" s="2" t="s">
        <v>18</v>
      </c>
      <c r="J13" s="28" t="s">
        <v>13</v>
      </c>
      <c r="K13" s="36">
        <v>70587</v>
      </c>
      <c r="L13" s="35">
        <v>60562</v>
      </c>
      <c r="M13" s="211">
        <v>26145700</v>
      </c>
      <c r="N13" s="202">
        <f t="shared" si="2"/>
        <v>0.55000000000000004</v>
      </c>
      <c r="O13" s="50">
        <f t="shared" si="4"/>
        <v>22645700</v>
      </c>
      <c r="P13" s="212">
        <v>50</v>
      </c>
      <c r="Q13" s="29">
        <v>0.5</v>
      </c>
      <c r="R13" s="204">
        <v>3500000</v>
      </c>
      <c r="S13" s="205">
        <v>0</v>
      </c>
      <c r="T13" s="206">
        <f t="shared" si="3"/>
        <v>3500000</v>
      </c>
      <c r="U13">
        <f t="shared" si="5"/>
        <v>0.55000000000000004</v>
      </c>
    </row>
    <row r="14" spans="1:135" ht="16.95" customHeight="1" x14ac:dyDescent="0.3">
      <c r="A14" s="198">
        <f t="shared" si="0"/>
        <v>77.3</v>
      </c>
      <c r="B14" s="199">
        <f t="shared" si="1"/>
        <v>15</v>
      </c>
      <c r="C14" s="199">
        <v>62.3</v>
      </c>
      <c r="D14" s="28" t="s">
        <v>471</v>
      </c>
      <c r="E14" s="28" t="s">
        <v>384</v>
      </c>
      <c r="F14" s="28" t="s">
        <v>546</v>
      </c>
      <c r="G14" s="28" t="s">
        <v>19</v>
      </c>
      <c r="H14" s="213" t="s">
        <v>431</v>
      </c>
      <c r="I14" s="28" t="s">
        <v>20</v>
      </c>
      <c r="J14" s="28" t="s">
        <v>38</v>
      </c>
      <c r="K14" s="36">
        <v>32067</v>
      </c>
      <c r="L14" s="208">
        <v>66980</v>
      </c>
      <c r="M14" s="201">
        <v>6201001</v>
      </c>
      <c r="N14" s="202">
        <f t="shared" si="2"/>
        <v>0.55000000000000004</v>
      </c>
      <c r="O14" s="50">
        <f t="shared" si="4"/>
        <v>3100500</v>
      </c>
      <c r="P14" s="203">
        <v>30</v>
      </c>
      <c r="Q14" s="29">
        <v>0.5</v>
      </c>
      <c r="R14" s="204">
        <f>ROUNDUP((M14*Q14),0)</f>
        <v>3100501</v>
      </c>
      <c r="S14" s="205">
        <v>0</v>
      </c>
      <c r="T14" s="206">
        <f t="shared" si="3"/>
        <v>3100501</v>
      </c>
      <c r="U14">
        <f t="shared" si="5"/>
        <v>0.55000000000000004</v>
      </c>
    </row>
    <row r="15" spans="1:135" ht="16.95" customHeight="1" x14ac:dyDescent="0.3">
      <c r="A15" s="154"/>
      <c r="B15" s="20"/>
      <c r="C15" s="20"/>
      <c r="D15" s="19"/>
      <c r="E15" s="20"/>
      <c r="F15" s="19"/>
      <c r="G15" s="20"/>
      <c r="H15" s="20"/>
      <c r="I15" s="20"/>
      <c r="J15" s="20"/>
      <c r="K15" s="21"/>
      <c r="L15" s="214" t="s">
        <v>24</v>
      </c>
      <c r="M15" s="215">
        <f>SUM(M6:M14)</f>
        <v>92131964</v>
      </c>
      <c r="N15" s="216"/>
      <c r="O15" s="215">
        <f>SUM(O6:O14)</f>
        <v>63925274</v>
      </c>
      <c r="P15" s="217"/>
      <c r="Q15" s="215"/>
      <c r="R15" s="215">
        <f>SUM(R6:R14)</f>
        <v>26606690</v>
      </c>
      <c r="S15" s="215">
        <f>SUM(S6:S14)</f>
        <v>1600000</v>
      </c>
      <c r="T15" s="218">
        <f>SUM(T6:T14)</f>
        <v>28206690</v>
      </c>
      <c r="U15" s="219"/>
    </row>
    <row r="16" spans="1:135" ht="16.95" customHeight="1" x14ac:dyDescent="0.25">
      <c r="A16" s="352" t="s">
        <v>401</v>
      </c>
      <c r="B16" s="353"/>
      <c r="C16" s="353"/>
      <c r="D16" s="353"/>
      <c r="E16" s="353"/>
      <c r="F16" s="353"/>
      <c r="G16" s="353"/>
      <c r="H16" s="353"/>
      <c r="I16" s="353"/>
      <c r="J16" s="353"/>
      <c r="K16" s="353"/>
      <c r="L16" s="353"/>
      <c r="M16" s="353"/>
      <c r="N16" s="353"/>
      <c r="O16" s="353"/>
      <c r="P16" s="353"/>
      <c r="Q16" s="353"/>
      <c r="R16" s="353"/>
      <c r="S16" s="353"/>
      <c r="T16" s="354"/>
    </row>
    <row r="17" spans="1:20" ht="16.95" customHeight="1" x14ac:dyDescent="0.25">
      <c r="A17" s="327" t="s">
        <v>547</v>
      </c>
      <c r="B17" s="328"/>
      <c r="C17" s="328"/>
      <c r="D17" s="328"/>
      <c r="E17" s="328"/>
      <c r="F17" s="328"/>
      <c r="G17" s="328"/>
      <c r="H17" s="328"/>
      <c r="I17" s="328"/>
      <c r="J17" s="328"/>
      <c r="K17" s="328"/>
      <c r="L17" s="328"/>
      <c r="M17" s="328"/>
      <c r="N17" s="328"/>
      <c r="O17" s="328"/>
      <c r="P17" s="328"/>
      <c r="Q17" s="328"/>
      <c r="R17" s="328"/>
      <c r="S17" s="328"/>
      <c r="T17" s="329"/>
    </row>
    <row r="18" spans="1:20" ht="16.95" customHeight="1" x14ac:dyDescent="0.25">
      <c r="A18" s="327" t="s">
        <v>548</v>
      </c>
      <c r="B18" s="328"/>
      <c r="C18" s="328"/>
      <c r="D18" s="328"/>
      <c r="E18" s="328"/>
      <c r="F18" s="328"/>
      <c r="G18" s="328"/>
      <c r="H18" s="328"/>
      <c r="I18" s="328"/>
      <c r="J18" s="328"/>
      <c r="K18" s="328"/>
      <c r="L18" s="328"/>
      <c r="M18" s="328"/>
      <c r="N18" s="328"/>
      <c r="O18" s="328"/>
      <c r="P18" s="328"/>
      <c r="Q18" s="328"/>
      <c r="R18" s="328"/>
      <c r="S18" s="328"/>
      <c r="T18" s="329"/>
    </row>
    <row r="19" spans="1:20" ht="16.95" customHeight="1" x14ac:dyDescent="0.25">
      <c r="A19" s="327" t="s">
        <v>549</v>
      </c>
      <c r="B19" s="328"/>
      <c r="C19" s="328"/>
      <c r="D19" s="328"/>
      <c r="E19" s="328"/>
      <c r="F19" s="328"/>
      <c r="G19" s="328"/>
      <c r="H19" s="328"/>
      <c r="I19" s="328"/>
      <c r="J19" s="328"/>
      <c r="K19" s="328"/>
      <c r="L19" s="328"/>
      <c r="M19" s="328"/>
      <c r="N19" s="328"/>
      <c r="O19" s="328"/>
      <c r="P19" s="328"/>
      <c r="Q19" s="328"/>
      <c r="R19" s="328"/>
      <c r="S19" s="328"/>
      <c r="T19" s="329"/>
    </row>
    <row r="20" spans="1:20" ht="16.95" customHeight="1" x14ac:dyDescent="0.25">
      <c r="A20" s="327" t="s">
        <v>550</v>
      </c>
      <c r="B20" s="328"/>
      <c r="C20" s="328"/>
      <c r="D20" s="328"/>
      <c r="E20" s="328"/>
      <c r="F20" s="328"/>
      <c r="G20" s="328"/>
      <c r="H20" s="328"/>
      <c r="I20" s="328"/>
      <c r="J20" s="328"/>
      <c r="K20" s="328"/>
      <c r="L20" s="328"/>
      <c r="M20" s="328"/>
      <c r="N20" s="328"/>
      <c r="O20" s="328"/>
      <c r="P20" s="328"/>
      <c r="Q20" s="328"/>
      <c r="R20" s="328"/>
      <c r="S20" s="328"/>
      <c r="T20" s="329"/>
    </row>
    <row r="21" spans="1:20" ht="16.95" customHeight="1" thickBot="1" x14ac:dyDescent="0.3">
      <c r="A21" s="330" t="s">
        <v>551</v>
      </c>
      <c r="B21" s="331"/>
      <c r="C21" s="331"/>
      <c r="D21" s="331"/>
      <c r="E21" s="331"/>
      <c r="F21" s="331"/>
      <c r="G21" s="331"/>
      <c r="H21" s="331"/>
      <c r="I21" s="331"/>
      <c r="J21" s="331"/>
      <c r="K21" s="331"/>
      <c r="L21" s="331"/>
      <c r="M21" s="331"/>
      <c r="N21" s="331"/>
      <c r="O21" s="331"/>
      <c r="P21" s="331"/>
      <c r="Q21" s="331"/>
      <c r="R21" s="331"/>
      <c r="S21" s="331"/>
      <c r="T21" s="332"/>
    </row>
  </sheetData>
  <autoFilter ref="A5:R15" xr:uid="{E223BA7E-E326-44C2-8BD7-DAC15F255E66}">
    <sortState xmlns:xlrd2="http://schemas.microsoft.com/office/spreadsheetml/2017/richdata2" ref="A6:R15">
      <sortCondition descending="1" ref="A5:A15"/>
    </sortState>
  </autoFilter>
  <mergeCells count="6">
    <mergeCell ref="A21:T21"/>
    <mergeCell ref="A16:T16"/>
    <mergeCell ref="A17:T17"/>
    <mergeCell ref="A18:T18"/>
    <mergeCell ref="A19:T19"/>
    <mergeCell ref="A20:T20"/>
  </mergeCells>
  <pageMargins left="0.7" right="0.7" top="0.75" bottom="0.75" header="0.3" footer="0.3"/>
  <pageSetup paperSize="17" scale="81" orientation="landscape" r:id="rId1"/>
  <headerFooter>
    <oddHeader xml:space="preserve">&amp;C&amp;"Arial,Bold"&amp;12SDWLP SFY 2024 BIL-EMERGING CONTAMINANTS FUNDING LIST &amp;10
December 15, 2023 
&amp;"Arial,Regular"(These projects are also listed on the primary funding list on pages 1 to 3; they are listed here with more detailed information)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Base Program Funding List</vt:lpstr>
      <vt:lpstr>Lead Service Line projects</vt:lpstr>
      <vt:lpstr>Emerging Contaminants projects</vt:lpstr>
      <vt:lpstr>'Emerging Contaminants projects'!Print_Area</vt:lpstr>
      <vt:lpstr>'Lead Service Line projects'!Print_Area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 2024 SDWLP Funding List</dc:title>
  <dc:subject>State Fiscal Year 2024 Safe Drinking Water Loan Program Funding List</dc:subject>
  <dc:creator>Balgooyen, Noah - DNR</dc:creator>
  <cp:keywords>SFY 2024 SDWLP Funding List</cp:keywords>
  <cp:lastModifiedBy>Christensen, Kay E - DNR</cp:lastModifiedBy>
  <cp:lastPrinted>2023-10-25T19:58:26Z</cp:lastPrinted>
  <dcterms:created xsi:type="dcterms:W3CDTF">2021-09-29T18:15:51Z</dcterms:created>
  <dcterms:modified xsi:type="dcterms:W3CDTF">2024-02-28T17:26:25Z</dcterms:modified>
</cp:coreProperties>
</file>